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udson\Desktop\Sales comp blog files\"/>
    </mc:Choice>
  </mc:AlternateContent>
  <xr:revisionPtr revIDLastSave="0" documentId="13_ncr:1_{E63AC604-56C2-43B4-BF78-06AF9C0555DC}" xr6:coauthVersionLast="45" xr6:coauthVersionMax="45" xr10:uidLastSave="{00000000-0000-0000-0000-000000000000}"/>
  <bookViews>
    <workbookView xWindow="28680" yWindow="1605" windowWidth="19440" windowHeight="10440" xr2:uid="{00000000-000D-0000-FFFF-FFFF00000000}"/>
  </bookViews>
  <sheets>
    <sheet name="Mkt Assump 19.20.21" sheetId="4" r:id="rId1"/>
    <sheet name="report1550804317637" sheetId="1" state="hidden" r:id="rId2"/>
    <sheet name="Look up" sheetId="2" state="hidden" r:id="rId3"/>
  </sheets>
  <definedNames>
    <definedName name="_xlnm._FilterDatabase" localSheetId="1" hidden="1">report1550804317637!$A$1:$I$39</definedName>
    <definedName name="themonth">'Look up'!$B$2:$B$13</definedName>
    <definedName name="thequarter">'Look up'!$B$2:$C$13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4" l="1"/>
  <c r="Y12" i="4"/>
  <c r="Y11" i="4"/>
  <c r="Y10" i="4"/>
  <c r="Y9" i="4"/>
  <c r="Z10" i="4"/>
  <c r="Z11" i="4"/>
  <c r="AA11" i="4" s="1"/>
  <c r="Z12" i="4"/>
  <c r="Z13" i="4"/>
  <c r="Z9" i="4"/>
  <c r="AA9" i="4" s="1"/>
  <c r="P7" i="4"/>
  <c r="F19" i="4"/>
  <c r="F14" i="4"/>
  <c r="E14" i="4"/>
  <c r="D14" i="4"/>
  <c r="C14" i="4"/>
  <c r="F13" i="4"/>
  <c r="F15" i="4" s="1"/>
  <c r="E13" i="4"/>
  <c r="D13" i="4"/>
  <c r="D15" i="4" s="1"/>
  <c r="C13" i="4"/>
  <c r="L7" i="4"/>
  <c r="K7" i="4"/>
  <c r="J7" i="4"/>
  <c r="I7" i="4"/>
  <c r="L6" i="4"/>
  <c r="K6" i="4"/>
  <c r="J6" i="4"/>
  <c r="L4" i="4"/>
  <c r="K4" i="4"/>
  <c r="E19" i="4" s="1"/>
  <c r="J4" i="4"/>
  <c r="D19" i="4" s="1"/>
  <c r="I6" i="4"/>
  <c r="I4" i="4"/>
  <c r="C19" i="4" s="1"/>
  <c r="L9" i="4"/>
  <c r="K9" i="4"/>
  <c r="J9" i="4"/>
  <c r="I9" i="4"/>
  <c r="F9" i="4"/>
  <c r="E9" i="4"/>
  <c r="D9" i="4"/>
  <c r="C9" i="4"/>
  <c r="C8" i="4"/>
  <c r="F7" i="4"/>
  <c r="E7" i="4"/>
  <c r="D7" i="4"/>
  <c r="C7" i="4"/>
  <c r="F6" i="4"/>
  <c r="E6" i="4"/>
  <c r="D6" i="4"/>
  <c r="C6" i="4"/>
  <c r="F4" i="4"/>
  <c r="E4" i="4"/>
  <c r="D4" i="4"/>
  <c r="C4" i="4"/>
  <c r="C15" i="4"/>
  <c r="C16" i="4" s="1"/>
  <c r="C21" i="4" l="1"/>
  <c r="C20" i="4"/>
  <c r="AA13" i="4"/>
  <c r="AA12" i="4"/>
  <c r="AA10" i="4"/>
  <c r="E15" i="4"/>
  <c r="C5" i="4"/>
  <c r="G4" i="4"/>
  <c r="M4" i="4"/>
  <c r="D5" i="4"/>
  <c r="E5" i="4"/>
  <c r="F5" i="4"/>
  <c r="I5" i="4"/>
  <c r="C22" i="4" s="1"/>
  <c r="J5" i="4"/>
  <c r="D22" i="4" s="1"/>
  <c r="K5" i="4"/>
  <c r="E22" i="4" s="1"/>
  <c r="L5" i="4"/>
  <c r="F22" i="4" s="1"/>
  <c r="G6" i="4"/>
  <c r="M6" i="4"/>
  <c r="G7" i="4"/>
  <c r="M7" i="4"/>
  <c r="D8" i="4"/>
  <c r="E8" i="4"/>
  <c r="F8" i="4"/>
  <c r="I8" i="4"/>
  <c r="J8" i="4"/>
  <c r="K8" i="4"/>
  <c r="L8" i="4"/>
  <c r="M9" i="4"/>
  <c r="G13" i="4"/>
  <c r="G14" i="4"/>
  <c r="D16" i="4"/>
  <c r="E16" i="4"/>
  <c r="F16" i="4"/>
  <c r="G19" i="4"/>
  <c r="D20" i="4"/>
  <c r="E20" i="4"/>
  <c r="F20" i="4"/>
  <c r="D21" i="4"/>
  <c r="E21" i="4"/>
  <c r="F21" i="4"/>
  <c r="J3" i="1"/>
  <c r="K3" i="1" s="1"/>
  <c r="L3" i="1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L2" i="1"/>
  <c r="J2" i="1"/>
  <c r="K2" i="1" s="1"/>
  <c r="M2" i="1" s="1"/>
  <c r="G15" i="4" l="1"/>
  <c r="P4" i="4" s="1"/>
  <c r="R5" i="4" s="1"/>
  <c r="M5" i="4"/>
  <c r="G5" i="4"/>
  <c r="E23" i="4"/>
  <c r="E24" i="4" s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F23" i="4"/>
  <c r="F25" i="4" s="1"/>
  <c r="F26" i="4" s="1"/>
  <c r="G21" i="4"/>
  <c r="D23" i="4"/>
  <c r="D25" i="4" s="1"/>
  <c r="D26" i="4" s="1"/>
  <c r="G16" i="4"/>
  <c r="G22" i="4"/>
  <c r="C23" i="4"/>
  <c r="C24" i="4" s="1"/>
  <c r="G20" i="4"/>
  <c r="M8" i="4"/>
  <c r="AC13" i="4" l="1"/>
  <c r="AC12" i="4"/>
  <c r="AC11" i="4"/>
  <c r="AC10" i="4"/>
  <c r="AC9" i="4"/>
  <c r="E25" i="4"/>
  <c r="E26" i="4" s="1"/>
  <c r="F24" i="4"/>
  <c r="D24" i="4"/>
  <c r="C25" i="4"/>
  <c r="G23" i="4"/>
  <c r="S5" i="4" l="1"/>
  <c r="P11" i="4"/>
  <c r="P6" i="4"/>
  <c r="P8" i="4"/>
  <c r="G24" i="4"/>
  <c r="P15" i="4"/>
  <c r="G25" i="4"/>
  <c r="G26" i="4" s="1"/>
  <c r="C26" i="4"/>
  <c r="P12" i="4" l="1"/>
  <c r="T5" i="4"/>
  <c r="P16" i="4"/>
  <c r="P21" i="4"/>
  <c r="P18" i="4"/>
  <c r="AB11" i="4"/>
  <c r="AB13" i="4"/>
  <c r="AB12" i="4"/>
  <c r="AB9" i="4"/>
  <c r="AB10" i="4"/>
  <c r="G9" i="4"/>
  <c r="P19" i="4" l="1"/>
  <c r="G8" i="4"/>
</calcChain>
</file>

<file path=xl/sharedStrings.xml><?xml version="1.0" encoding="utf-8"?>
<sst xmlns="http://schemas.openxmlformats.org/spreadsheetml/2006/main" count="308" uniqueCount="194">
  <si>
    <t>Pipeline</t>
  </si>
  <si>
    <t>Stage</t>
  </si>
  <si>
    <t>Won</t>
  </si>
  <si>
    <t>Close rate</t>
  </si>
  <si>
    <t xml:space="preserve"> Total</t>
  </si>
  <si>
    <t>Comments</t>
  </si>
  <si>
    <t>Pipeline Created (TAM)</t>
  </si>
  <si>
    <t>Pipeline Created (Non TAM)</t>
  </si>
  <si>
    <t>Pipeline Created (Total)</t>
  </si>
  <si>
    <t>Closed/Won (TAM)</t>
  </si>
  <si>
    <t>Closed/Won (Non TAM)</t>
  </si>
  <si>
    <t>Closed/Won (Total)</t>
  </si>
  <si>
    <t>Q1-2019</t>
  </si>
  <si>
    <t>Q2-2019</t>
  </si>
  <si>
    <t>Q3-2019</t>
  </si>
  <si>
    <t>Q4-2019</t>
  </si>
  <si>
    <t>Grand Total</t>
  </si>
  <si>
    <t>YoY change (ARR)</t>
  </si>
  <si>
    <t>Productivity Increase</t>
  </si>
  <si>
    <t>Market adjustment</t>
  </si>
  <si>
    <t>Adjusted Non-TAM Pipe</t>
  </si>
  <si>
    <t>PROJECTED PIPE</t>
  </si>
  <si>
    <t>Coverage (Pipe/Plan)</t>
  </si>
  <si>
    <t>PROJECTED CLOSE</t>
  </si>
  <si>
    <t>Surplus/Shortfall</t>
  </si>
  <si>
    <t>Assumptions</t>
  </si>
  <si>
    <t>Factor</t>
  </si>
  <si>
    <t>Adjustment</t>
  </si>
  <si>
    <t>Market Adjustment</t>
  </si>
  <si>
    <t>Non TAM pipe adjustment</t>
  </si>
  <si>
    <t>Lead Source</t>
  </si>
  <si>
    <t>Lead Category</t>
  </si>
  <si>
    <t>Lead Channel</t>
  </si>
  <si>
    <t>Opportunity Owner</t>
  </si>
  <si>
    <t>Account Name</t>
  </si>
  <si>
    <t>Opportunity Name</t>
  </si>
  <si>
    <t>Annuity Value (Bookable)</t>
  </si>
  <si>
    <t>Created Date</t>
  </si>
  <si>
    <t>Month</t>
  </si>
  <si>
    <t>Quarter</t>
  </si>
  <si>
    <t>Year</t>
  </si>
  <si>
    <t>Period</t>
  </si>
  <si>
    <t>Partner</t>
  </si>
  <si>
    <t>Outbound</t>
  </si>
  <si>
    <t>Referral Avnet</t>
  </si>
  <si>
    <t>Brody McHone</t>
  </si>
  <si>
    <t>Sensors &amp; Software</t>
  </si>
  <si>
    <t>Sensors &amp; Software - Initial4</t>
  </si>
  <si>
    <t>Lost</t>
  </si>
  <si>
    <t>Gregg Gowanloch</t>
  </si>
  <si>
    <t>TeDan Surgical Innovations</t>
  </si>
  <si>
    <t>TeDan Surgical Innovations - Initial</t>
  </si>
  <si>
    <t>Austin Gaydos</t>
  </si>
  <si>
    <t>Alea Labs</t>
  </si>
  <si>
    <t>Alea Labs- Initial</t>
  </si>
  <si>
    <t>Stephanie Razo</t>
  </si>
  <si>
    <t>RealWear</t>
  </si>
  <si>
    <t>RealWear - Initial</t>
  </si>
  <si>
    <t>VAR</t>
  </si>
  <si>
    <t>Lead Research</t>
  </si>
  <si>
    <t>Dieter Zumsande</t>
  </si>
  <si>
    <t>Foresight Imaging</t>
  </si>
  <si>
    <t>Foresight Imaging - Initial</t>
  </si>
  <si>
    <t>iBeat</t>
  </si>
  <si>
    <t>iBeat - Initial</t>
  </si>
  <si>
    <t>Redaptive</t>
  </si>
  <si>
    <t>Redaptive- Initial</t>
  </si>
  <si>
    <t>Anush Ramodiya</t>
  </si>
  <si>
    <t>Velocloud Networks</t>
  </si>
  <si>
    <t>Velocloud Networks - Initial</t>
  </si>
  <si>
    <t>Lumos Tech</t>
  </si>
  <si>
    <t>Lumos Tech- Initial</t>
  </si>
  <si>
    <t>Nexgrill Industries, Inc.</t>
  </si>
  <si>
    <t>Nexgrill Industries - Initial</t>
  </si>
  <si>
    <t>Twin-Star International</t>
  </si>
  <si>
    <t>Twin-Star - initial</t>
  </si>
  <si>
    <t>Ript Labs dba Tonal</t>
  </si>
  <si>
    <t>Ript Labs - Initial</t>
  </si>
  <si>
    <t>Zen Within - AUS</t>
  </si>
  <si>
    <t>Zen Within - AUS- Initial</t>
  </si>
  <si>
    <t>Vanrx Pharmasystems</t>
  </si>
  <si>
    <t>Vanrx Pharmasystems - Initial 2</t>
  </si>
  <si>
    <t>RF Engineering, Inc.</t>
  </si>
  <si>
    <t>RFE Inc. - Initial 2</t>
  </si>
  <si>
    <t>Diatom Robotics</t>
  </si>
  <si>
    <t>Diatom Robotics - Initial</t>
  </si>
  <si>
    <t>Keegan Warren</t>
  </si>
  <si>
    <t>Core Mobility</t>
  </si>
  <si>
    <t>Core Mobility - Initial 2</t>
  </si>
  <si>
    <t>Depict</t>
  </si>
  <si>
    <t>Depict- Initial 2</t>
  </si>
  <si>
    <t>Farasis</t>
  </si>
  <si>
    <t>Farasis- Initial</t>
  </si>
  <si>
    <t>SkyCool Systems</t>
  </si>
  <si>
    <t>SkyCool Systems- Initial</t>
  </si>
  <si>
    <t>Move Systems</t>
  </si>
  <si>
    <t>Tectus</t>
  </si>
  <si>
    <t>Tectus- Initial</t>
  </si>
  <si>
    <t>David Whitney</t>
  </si>
  <si>
    <t>Resoundant</t>
  </si>
  <si>
    <t>Resoundant-PLM</t>
  </si>
  <si>
    <t>Proposal</t>
  </si>
  <si>
    <t>TECO Technology</t>
  </si>
  <si>
    <t>Cocoon Cam</t>
  </si>
  <si>
    <t>Cocoon Cam-Initial</t>
  </si>
  <si>
    <t>Coolisys - A Digital Power Company</t>
  </si>
  <si>
    <t>Digital Power - Initial 4</t>
  </si>
  <si>
    <t>Develop Solution</t>
  </si>
  <si>
    <t>eMotorWerks</t>
  </si>
  <si>
    <t>MotorWerks- Initial</t>
  </si>
  <si>
    <t>Dave Solimini</t>
  </si>
  <si>
    <t>Accu-Time Systems</t>
  </si>
  <si>
    <t>Accu-Time-PLM</t>
  </si>
  <si>
    <t>Inbound</t>
  </si>
  <si>
    <t>I-Website</t>
  </si>
  <si>
    <t>The Topps Company, Inc.</t>
  </si>
  <si>
    <t>Topps - Initial</t>
  </si>
  <si>
    <t>Ripcord</t>
  </si>
  <si>
    <t>Ripcord - Initial (4)</t>
  </si>
  <si>
    <t>Lumaforge Inc.</t>
  </si>
  <si>
    <t>Lumaforge Inc.- Initial</t>
  </si>
  <si>
    <t>MicroAire</t>
  </si>
  <si>
    <t>MicroAire-PLM</t>
  </si>
  <si>
    <t>Advanced Energy Industries</t>
  </si>
  <si>
    <t>AEI- PLM Corporate Roll Out</t>
  </si>
  <si>
    <t>Discovery</t>
  </si>
  <si>
    <t>Teladapters</t>
  </si>
  <si>
    <t>Teladapters- Initial</t>
  </si>
  <si>
    <t>Marble</t>
  </si>
  <si>
    <t>Marble - Initial</t>
  </si>
  <si>
    <t>iVeia</t>
  </si>
  <si>
    <t>iVeia-PLM</t>
  </si>
  <si>
    <t>Rhino Rack</t>
  </si>
  <si>
    <t>Rhino Rack - Initial</t>
  </si>
  <si>
    <t>PurePOWER Technologies</t>
  </si>
  <si>
    <t>PurePOWER Technologies-PLM</t>
  </si>
  <si>
    <t>Q1</t>
  </si>
  <si>
    <t>Q2</t>
  </si>
  <si>
    <t>Q3</t>
  </si>
  <si>
    <t>Q4</t>
  </si>
  <si>
    <t>Q1-2020</t>
  </si>
  <si>
    <t>Q2-2020</t>
  </si>
  <si>
    <t>Q3-2020</t>
  </si>
  <si>
    <t>Q4-2020</t>
  </si>
  <si>
    <t>2021 Plan</t>
  </si>
  <si>
    <t>Q1-2021</t>
  </si>
  <si>
    <t>Q2-2021</t>
  </si>
  <si>
    <t>Q3-2021</t>
  </si>
  <si>
    <t>Q4-2021</t>
  </si>
  <si>
    <t>New Business Plan</t>
  </si>
  <si>
    <t>Upsell Plan</t>
  </si>
  <si>
    <t>2021 Bookings Plan</t>
  </si>
  <si>
    <t>2021 Pipeline Plan</t>
  </si>
  <si>
    <t>2020 Pipeline Results (TAM)</t>
  </si>
  <si>
    <t>Growth, Competitor out of market</t>
  </si>
  <si>
    <t>Same YoY decrease as 2019-20</t>
  </si>
  <si>
    <t>Average was 39% in 2019 to 2020</t>
  </si>
  <si>
    <t>Better targeting, CSM team, SDR/Marketing alignment</t>
  </si>
  <si>
    <t>2019-2020 Results</t>
  </si>
  <si>
    <t>Quota assigned</t>
  </si>
  <si>
    <t>Win Rate</t>
  </si>
  <si>
    <t>Pipeline Need</t>
  </si>
  <si>
    <t># Opps Needed</t>
  </si>
  <si>
    <t>Marketing Contribution</t>
  </si>
  <si>
    <t>Rep Contribution</t>
  </si>
  <si>
    <t>Rep $ Contribution</t>
  </si>
  <si>
    <t>Rep # Contribution</t>
  </si>
  <si>
    <t>Marketing Contribution $</t>
  </si>
  <si>
    <t>Marketing Contribution #</t>
  </si>
  <si>
    <t xml:space="preserve">Annual Contract Value </t>
  </si>
  <si>
    <t>New Pipeline $ per month</t>
  </si>
  <si>
    <t>New Pipeline # per month</t>
  </si>
  <si>
    <t>Required Coverage to Quota</t>
  </si>
  <si>
    <t>Quota</t>
  </si>
  <si>
    <t>Opps</t>
  </si>
  <si>
    <t>Path 1</t>
  </si>
  <si>
    <t>Path 2</t>
  </si>
  <si>
    <t>Path 3</t>
  </si>
  <si>
    <t>Path 4</t>
  </si>
  <si>
    <t>Path 5</t>
  </si>
  <si>
    <t>ACV</t>
  </si>
  <si>
    <t>Total Deals</t>
  </si>
  <si>
    <t>Total Booking</t>
  </si>
  <si>
    <t>ASP</t>
  </si>
  <si>
    <t>Pipe Win Rate</t>
  </si>
  <si>
    <t>Quota Attainment</t>
  </si>
  <si>
    <t>Deal Size</t>
  </si>
  <si>
    <t>XXL</t>
  </si>
  <si>
    <t>XL</t>
  </si>
  <si>
    <t>L</t>
  </si>
  <si>
    <t>M</t>
  </si>
  <si>
    <t>S</t>
  </si>
  <si>
    <t>XS</t>
  </si>
  <si>
    <t>Ave Deal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</si>
</sst>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F3F76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9">
    <xf numFmtId="0" fontId="0" fillId="0" borderId="0" xfId="0"/>
    <xf numFmtId="0" fontId="16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18" fillId="0" borderId="0" xfId="0" applyFont="1"/>
    <xf numFmtId="0" fontId="19" fillId="0" borderId="0" xfId="0" applyFont="1"/>
    <xf numFmtId="165" fontId="18" fillId="0" borderId="0" xfId="0" applyNumberFormat="1" applyFont="1"/>
    <xf numFmtId="165" fontId="18" fillId="0" borderId="0" xfId="2" applyNumberFormat="1" applyFont="1"/>
    <xf numFmtId="9" fontId="18" fillId="0" borderId="0" xfId="3" applyFont="1"/>
    <xf numFmtId="165" fontId="19" fillId="0" borderId="0" xfId="0" applyNumberFormat="1" applyFont="1"/>
    <xf numFmtId="2" fontId="18" fillId="0" borderId="0" xfId="0" applyNumberFormat="1" applyFont="1"/>
    <xf numFmtId="9" fontId="19" fillId="0" borderId="0" xfId="3" applyFont="1"/>
    <xf numFmtId="165" fontId="19" fillId="0" borderId="10" xfId="0" applyNumberFormat="1" applyFont="1" applyBorder="1"/>
    <xf numFmtId="44" fontId="18" fillId="0" borderId="0" xfId="0" applyNumberFormat="1" applyFont="1"/>
    <xf numFmtId="9" fontId="18" fillId="0" borderId="0" xfId="0" applyNumberFormat="1" applyFont="1"/>
    <xf numFmtId="165" fontId="19" fillId="0" borderId="10" xfId="2" applyNumberFormat="1" applyFont="1" applyBorder="1"/>
    <xf numFmtId="165" fontId="18" fillId="0" borderId="11" xfId="0" applyNumberFormat="1" applyFont="1" applyBorder="1"/>
    <xf numFmtId="165" fontId="0" fillId="0" borderId="0" xfId="0" applyNumberFormat="1"/>
    <xf numFmtId="9" fontId="18" fillId="0" borderId="0" xfId="3" applyFont="1" applyAlignment="1">
      <alignment horizontal="center"/>
    </xf>
    <xf numFmtId="0" fontId="19" fillId="0" borderId="0" xfId="0" applyFont="1" applyFill="1"/>
    <xf numFmtId="0" fontId="18" fillId="0" borderId="0" xfId="0" applyFont="1" applyFill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9" fontId="20" fillId="5" borderId="4" xfId="12" applyNumberFormat="1" applyFont="1" applyAlignment="1">
      <alignment horizontal="center"/>
    </xf>
    <xf numFmtId="44" fontId="18" fillId="0" borderId="0" xfId="0" applyNumberFormat="1" applyFont="1" applyFill="1"/>
    <xf numFmtId="164" fontId="18" fillId="0" borderId="17" xfId="0" applyNumberFormat="1" applyFont="1" applyBorder="1"/>
    <xf numFmtId="0" fontId="18" fillId="0" borderId="17" xfId="0" applyFont="1" applyBorder="1"/>
    <xf numFmtId="9" fontId="18" fillId="0" borderId="17" xfId="0" applyNumberFormat="1" applyFont="1" applyBorder="1"/>
    <xf numFmtId="164" fontId="19" fillId="0" borderId="17" xfId="0" applyNumberFormat="1" applyFont="1" applyBorder="1"/>
    <xf numFmtId="0" fontId="19" fillId="0" borderId="18" xfId="0" applyFont="1" applyBorder="1"/>
    <xf numFmtId="0" fontId="18" fillId="0" borderId="16" xfId="0" applyFont="1" applyBorder="1"/>
    <xf numFmtId="0" fontId="18" fillId="0" borderId="18" xfId="0" applyFont="1" applyBorder="1"/>
    <xf numFmtId="9" fontId="18" fillId="0" borderId="0" xfId="0" applyNumberFormat="1" applyFont="1" applyBorder="1"/>
    <xf numFmtId="0" fontId="18" fillId="0" borderId="0" xfId="0" applyFont="1" applyBorder="1"/>
    <xf numFmtId="164" fontId="18" fillId="0" borderId="18" xfId="0" applyNumberFormat="1" applyFont="1" applyBorder="1"/>
    <xf numFmtId="0" fontId="19" fillId="33" borderId="15" xfId="0" applyFont="1" applyFill="1" applyBorder="1"/>
    <xf numFmtId="9" fontId="18" fillId="0" borderId="16" xfId="0" applyNumberFormat="1" applyFont="1" applyBorder="1"/>
    <xf numFmtId="0" fontId="18" fillId="0" borderId="22" xfId="0" applyFont="1" applyBorder="1"/>
    <xf numFmtId="0" fontId="18" fillId="0" borderId="19" xfId="0" applyFont="1" applyBorder="1"/>
    <xf numFmtId="0" fontId="18" fillId="0" borderId="23" xfId="0" applyFont="1" applyBorder="1"/>
    <xf numFmtId="0" fontId="19" fillId="0" borderId="0" xfId="0" applyFont="1" applyBorder="1"/>
    <xf numFmtId="0" fontId="18" fillId="0" borderId="22" xfId="0" applyFont="1" applyFill="1" applyBorder="1"/>
    <xf numFmtId="0" fontId="19" fillId="0" borderId="19" xfId="0" applyFont="1" applyBorder="1"/>
    <xf numFmtId="0" fontId="19" fillId="0" borderId="23" xfId="0" applyFont="1" applyBorder="1"/>
    <xf numFmtId="164" fontId="19" fillId="33" borderId="15" xfId="0" applyNumberFormat="1" applyFont="1" applyFill="1" applyBorder="1"/>
    <xf numFmtId="0" fontId="19" fillId="0" borderId="22" xfId="0" applyFont="1" applyBorder="1"/>
    <xf numFmtId="164" fontId="19" fillId="0" borderId="16" xfId="0" applyNumberFormat="1" applyFont="1" applyBorder="1"/>
    <xf numFmtId="0" fontId="18" fillId="0" borderId="26" xfId="0" applyFont="1" applyBorder="1"/>
    <xf numFmtId="0" fontId="18" fillId="0" borderId="15" xfId="0" applyFont="1" applyBorder="1"/>
    <xf numFmtId="0" fontId="19" fillId="0" borderId="26" xfId="0" applyFont="1" applyBorder="1"/>
    <xf numFmtId="164" fontId="18" fillId="0" borderId="15" xfId="0" applyNumberFormat="1" applyFont="1" applyBorder="1"/>
    <xf numFmtId="165" fontId="18" fillId="0" borderId="15" xfId="0" applyNumberFormat="1" applyFont="1" applyBorder="1"/>
    <xf numFmtId="0" fontId="18" fillId="0" borderId="15" xfId="0" applyFont="1" applyBorder="1" applyAlignment="1">
      <alignment horizontal="center"/>
    </xf>
    <xf numFmtId="0" fontId="6" fillId="33" borderId="15" xfId="9" applyFill="1" applyBorder="1"/>
    <xf numFmtId="0" fontId="18" fillId="0" borderId="29" xfId="0" applyFont="1" applyBorder="1"/>
    <xf numFmtId="0" fontId="18" fillId="0" borderId="30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164" fontId="18" fillId="33" borderId="36" xfId="0" applyNumberFormat="1" applyFont="1" applyFill="1" applyBorder="1"/>
    <xf numFmtId="164" fontId="18" fillId="33" borderId="28" xfId="0" applyNumberFormat="1" applyFont="1" applyFill="1" applyBorder="1"/>
    <xf numFmtId="164" fontId="18" fillId="33" borderId="31" xfId="0" applyNumberFormat="1" applyFont="1" applyFill="1" applyBorder="1"/>
    <xf numFmtId="164" fontId="18" fillId="33" borderId="37" xfId="0" applyNumberFormat="1" applyFont="1" applyFill="1" applyBorder="1"/>
    <xf numFmtId="0" fontId="18" fillId="33" borderId="28" xfId="0" applyFont="1" applyFill="1" applyBorder="1"/>
    <xf numFmtId="0" fontId="18" fillId="33" borderId="27" xfId="0" applyFont="1" applyFill="1" applyBorder="1"/>
    <xf numFmtId="9" fontId="18" fillId="0" borderId="21" xfId="3" applyFont="1" applyBorder="1" applyAlignment="1">
      <alignment horizontal="center"/>
    </xf>
    <xf numFmtId="9" fontId="18" fillId="0" borderId="20" xfId="3" applyFont="1" applyBorder="1" applyAlignment="1">
      <alignment horizontal="center"/>
    </xf>
    <xf numFmtId="9" fontId="18" fillId="0" borderId="0" xfId="3" applyFont="1" applyBorder="1" applyAlignment="1">
      <alignment horizontal="center"/>
    </xf>
    <xf numFmtId="9" fontId="18" fillId="0" borderId="24" xfId="3" applyFont="1" applyBorder="1" applyAlignment="1">
      <alignment horizontal="center"/>
    </xf>
    <xf numFmtId="9" fontId="18" fillId="0" borderId="11" xfId="3" applyFont="1" applyBorder="1" applyAlignment="1">
      <alignment horizontal="center"/>
    </xf>
    <xf numFmtId="9" fontId="18" fillId="0" borderId="25" xfId="3" applyFont="1" applyBorder="1" applyAlignment="1">
      <alignment horizontal="center"/>
    </xf>
    <xf numFmtId="164" fontId="18" fillId="0" borderId="21" xfId="0" applyNumberFormat="1" applyFont="1" applyBorder="1"/>
    <xf numFmtId="164" fontId="18" fillId="0" borderId="0" xfId="0" applyNumberFormat="1" applyFont="1" applyBorder="1"/>
    <xf numFmtId="164" fontId="18" fillId="0" borderId="11" xfId="0" applyNumberFormat="1" applyFont="1" applyBorder="1"/>
    <xf numFmtId="0" fontId="18" fillId="0" borderId="22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4" fontId="18" fillId="0" borderId="21" xfId="1" applyNumberFormat="1" applyFont="1" applyBorder="1" applyAlignment="1">
      <alignment horizontal="center"/>
    </xf>
    <xf numFmtId="164" fontId="18" fillId="0" borderId="0" xfId="1" applyNumberFormat="1" applyFont="1" applyBorder="1" applyAlignment="1">
      <alignment horizontal="center"/>
    </xf>
    <xf numFmtId="164" fontId="18" fillId="0" borderId="11" xfId="1" applyNumberFormat="1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8" borderId="12" xfId="18" applyFont="1" applyBorder="1" applyAlignment="1">
      <alignment horizontal="left"/>
    </xf>
    <xf numFmtId="0" fontId="19" fillId="8" borderId="13" xfId="18" applyFont="1" applyBorder="1" applyAlignment="1">
      <alignment horizontal="left"/>
    </xf>
    <xf numFmtId="0" fontId="19" fillId="8" borderId="14" xfId="18" applyFont="1" applyBorder="1" applyAlignment="1">
      <alignment horizontal="left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1" defaultTableStyle="TableStyleMedium2" defaultPivotStyle="PivotStyleLight16">
    <tableStyle name="Invisible" pivot="0" table="0" count="0" xr9:uid="{85FCEB0D-D064-45EE-BB6D-E9F31B09140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39"/>
  <sheetViews>
    <sheetView showGridLines="0" tabSelected="1" workbookViewId="0">
      <selection activeCell="I18" sqref="I18"/>
    </sheetView>
  </sheetViews>
  <sheetFormatPr defaultColWidth="9.140625" defaultRowHeight="12.75" x14ac:dyDescent="0.2"/>
  <cols>
    <col min="1" max="1" width="2.5703125" style="6" customWidth="1"/>
    <col min="2" max="2" width="25.28515625" style="5" customWidth="1"/>
    <col min="3" max="7" width="10.7109375" style="5" customWidth="1"/>
    <col min="8" max="8" width="0.7109375" style="5" customWidth="1"/>
    <col min="9" max="14" width="10.7109375" style="5" customWidth="1"/>
    <col min="15" max="15" width="24" style="5" bestFit="1" customWidth="1"/>
    <col min="16" max="16" width="9.85546875" style="5" bestFit="1" customWidth="1"/>
    <col min="17" max="17" width="6" style="5" customWidth="1"/>
    <col min="18" max="18" width="8.42578125" style="5" bestFit="1" customWidth="1"/>
    <col min="19" max="19" width="11" style="5" bestFit="1" customWidth="1"/>
    <col min="20" max="24" width="7.42578125" style="5" bestFit="1" customWidth="1"/>
    <col min="25" max="25" width="9.85546875" style="5" bestFit="1" customWidth="1"/>
    <col min="26" max="26" width="12.42578125" style="5" bestFit="1" customWidth="1"/>
    <col min="27" max="27" width="7.42578125" style="5" bestFit="1" customWidth="1"/>
    <col min="28" max="28" width="12" style="5" bestFit="1" customWidth="1"/>
    <col min="29" max="29" width="15" style="5" bestFit="1" customWidth="1"/>
    <col min="30" max="16384" width="9.140625" style="5"/>
  </cols>
  <sheetData>
    <row r="2" spans="2:29" s="21" customFormat="1" x14ac:dyDescent="0.2"/>
    <row r="3" spans="2:29" x14ac:dyDescent="0.2">
      <c r="B3" s="20" t="s">
        <v>158</v>
      </c>
      <c r="C3" s="22" t="s">
        <v>12</v>
      </c>
      <c r="D3" s="22" t="s">
        <v>13</v>
      </c>
      <c r="E3" s="22" t="s">
        <v>14</v>
      </c>
      <c r="F3" s="22" t="s">
        <v>15</v>
      </c>
      <c r="G3" s="22" t="s">
        <v>4</v>
      </c>
      <c r="H3" s="23"/>
      <c r="I3" s="22" t="s">
        <v>140</v>
      </c>
      <c r="J3" s="22" t="s">
        <v>141</v>
      </c>
      <c r="K3" s="22" t="s">
        <v>142</v>
      </c>
      <c r="L3" s="22" t="s">
        <v>143</v>
      </c>
      <c r="M3" s="22" t="s">
        <v>4</v>
      </c>
    </row>
    <row r="4" spans="2:29" ht="15" x14ac:dyDescent="0.25">
      <c r="B4" s="5" t="s">
        <v>6</v>
      </c>
      <c r="C4" s="7">
        <f>1474131.37/4</f>
        <v>368532.84250000003</v>
      </c>
      <c r="D4" s="7">
        <f>1975921.04/4</f>
        <v>493980.26</v>
      </c>
      <c r="E4" s="7">
        <f>2224843.74/4</f>
        <v>556210.93500000006</v>
      </c>
      <c r="F4" s="7">
        <f>1149116.57/4</f>
        <v>287279.14250000002</v>
      </c>
      <c r="G4" s="7">
        <f>SUM(C4:F4)</f>
        <v>1706003.1800000002</v>
      </c>
      <c r="I4" s="8">
        <f>1854977.81/4</f>
        <v>463744.45250000001</v>
      </c>
      <c r="J4" s="8">
        <f>1125749.08/4</f>
        <v>281437.27</v>
      </c>
      <c r="K4" s="8">
        <f>1680638.54/4</f>
        <v>420159.63500000001</v>
      </c>
      <c r="L4" s="8">
        <f>1394211.37/4</f>
        <v>348552.84250000003</v>
      </c>
      <c r="M4" s="8">
        <f>SUM(I4:L4)</f>
        <v>1513894.2</v>
      </c>
      <c r="O4" s="37" t="s">
        <v>159</v>
      </c>
      <c r="P4" s="46">
        <f>G15</f>
        <v>943750.00000000105</v>
      </c>
      <c r="R4" s="55" t="s">
        <v>173</v>
      </c>
      <c r="S4" s="55" t="s">
        <v>0</v>
      </c>
      <c r="T4" s="55" t="s">
        <v>174</v>
      </c>
    </row>
    <row r="5" spans="2:29" ht="13.5" thickBot="1" x14ac:dyDescent="0.25">
      <c r="B5" s="5" t="s">
        <v>7</v>
      </c>
      <c r="C5" s="17">
        <f>C6-C4</f>
        <v>332528.27749999997</v>
      </c>
      <c r="D5" s="17">
        <f>D6-D4</f>
        <v>243217.04749999999</v>
      </c>
      <c r="E5" s="17">
        <f>E6-E4</f>
        <v>217895.73499999999</v>
      </c>
      <c r="F5" s="17">
        <f>F6-F4</f>
        <v>188122.72249999997</v>
      </c>
      <c r="G5" s="17">
        <f>G6-G4</f>
        <v>981763.7825000002</v>
      </c>
      <c r="I5" s="17">
        <f>I6-I4</f>
        <v>162476.07750000001</v>
      </c>
      <c r="J5" s="17">
        <f>J6-J4</f>
        <v>221038.87</v>
      </c>
      <c r="K5" s="17">
        <f>K6-K4</f>
        <v>144537.94999999995</v>
      </c>
      <c r="L5" s="17">
        <f>L6-L4</f>
        <v>162679.40249999997</v>
      </c>
      <c r="M5" s="17">
        <f>M6-M4</f>
        <v>690732.3</v>
      </c>
      <c r="O5" s="32" t="s">
        <v>169</v>
      </c>
      <c r="P5" s="27">
        <v>28000</v>
      </c>
      <c r="R5" s="52">
        <f>P4</f>
        <v>943750.00000000105</v>
      </c>
      <c r="S5" s="53">
        <f>G23</f>
        <v>2380710.7769999998</v>
      </c>
      <c r="T5" s="54">
        <f>P6</f>
        <v>85</v>
      </c>
    </row>
    <row r="6" spans="2:29" ht="13.5" thickBot="1" x14ac:dyDescent="0.25">
      <c r="B6" s="5" t="s">
        <v>8</v>
      </c>
      <c r="C6" s="13">
        <f>2804244.48/4</f>
        <v>701061.12</v>
      </c>
      <c r="D6" s="13">
        <f>2948789.23/4</f>
        <v>737197.3075</v>
      </c>
      <c r="E6" s="13">
        <f>3096426.68/4</f>
        <v>774106.67</v>
      </c>
      <c r="F6" s="13">
        <f>1901607.46/4</f>
        <v>475401.86499999999</v>
      </c>
      <c r="G6" s="13">
        <f>SUM(C6:F6)</f>
        <v>2687766.9625000004</v>
      </c>
      <c r="I6" s="13">
        <f>2504882.12/4</f>
        <v>626220.53</v>
      </c>
      <c r="J6" s="13">
        <f>2009904.56/4</f>
        <v>502476.14</v>
      </c>
      <c r="K6" s="13">
        <f>2258790.34/4</f>
        <v>564697.58499999996</v>
      </c>
      <c r="L6" s="13">
        <f>2044928.98/4</f>
        <v>511232.245</v>
      </c>
      <c r="M6" s="13">
        <f>SUM(I6:L6)</f>
        <v>2204626.5</v>
      </c>
      <c r="O6" s="28" t="s">
        <v>162</v>
      </c>
      <c r="P6" s="28">
        <f>ROUND(G23/P5,0)</f>
        <v>85</v>
      </c>
      <c r="V6" s="56" t="s">
        <v>193</v>
      </c>
    </row>
    <row r="7" spans="2:29" ht="15.75" thickTop="1" x14ac:dyDescent="0.25">
      <c r="B7" s="5" t="s">
        <v>9</v>
      </c>
      <c r="C7" s="7">
        <f>751258.24/4</f>
        <v>187814.56</v>
      </c>
      <c r="D7" s="7">
        <f>349567.86/4</f>
        <v>87391.964999999997</v>
      </c>
      <c r="E7" s="7">
        <f>317003.82/4</f>
        <v>79250.955000000002</v>
      </c>
      <c r="F7" s="7">
        <f>573811.6/4</f>
        <v>143452.9</v>
      </c>
      <c r="G7" s="7">
        <f>SUM(C7:F7)</f>
        <v>497910.38</v>
      </c>
      <c r="I7" s="18">
        <f>499319.32/4</f>
        <v>124829.83</v>
      </c>
      <c r="J7" s="18">
        <f>745758.82/4</f>
        <v>186439.70499999999</v>
      </c>
      <c r="K7" s="18">
        <f>473578.23/4</f>
        <v>118394.5575</v>
      </c>
      <c r="L7" s="18">
        <f>412808.79/4</f>
        <v>103202.19749999999</v>
      </c>
      <c r="M7" s="8">
        <f>SUM(I7:L7)</f>
        <v>532866.28999999992</v>
      </c>
      <c r="O7" s="28" t="s">
        <v>160</v>
      </c>
      <c r="P7" s="29">
        <f>C32</f>
        <v>0.4</v>
      </c>
      <c r="R7" s="49" t="s">
        <v>186</v>
      </c>
      <c r="S7" s="58" t="s">
        <v>187</v>
      </c>
      <c r="T7" s="59" t="s">
        <v>188</v>
      </c>
      <c r="U7" s="59" t="s">
        <v>189</v>
      </c>
      <c r="V7" s="59" t="s">
        <v>190</v>
      </c>
      <c r="W7" s="59" t="s">
        <v>191</v>
      </c>
      <c r="X7" s="60" t="s">
        <v>192</v>
      </c>
    </row>
    <row r="8" spans="2:29" x14ac:dyDescent="0.2">
      <c r="B8" s="5" t="s">
        <v>10</v>
      </c>
      <c r="C8" s="17">
        <f>C9-C7</f>
        <v>71925.69</v>
      </c>
      <c r="D8" s="17">
        <f>D9-D7</f>
        <v>38383.535000000003</v>
      </c>
      <c r="E8" s="17">
        <f>E9-E7</f>
        <v>92740.794999999998</v>
      </c>
      <c r="F8" s="17">
        <f>F9-F7</f>
        <v>66929.100000000006</v>
      </c>
      <c r="G8" s="17">
        <f>G9-G7</f>
        <v>269979.12</v>
      </c>
      <c r="I8" s="17">
        <f>I9-I7</f>
        <v>41603.264999999999</v>
      </c>
      <c r="J8" s="17">
        <f>J9-J7</f>
        <v>56830.402500000026</v>
      </c>
      <c r="K8" s="17">
        <f>K9-K7</f>
        <v>56342.53</v>
      </c>
      <c r="L8" s="17">
        <f>L9-L7</f>
        <v>46883.287499999991</v>
      </c>
      <c r="M8" s="17">
        <f>M9-M7</f>
        <v>201659.4850000001</v>
      </c>
      <c r="N8" s="9"/>
      <c r="O8" s="33" t="s">
        <v>161</v>
      </c>
      <c r="P8" s="36">
        <f>G23</f>
        <v>2380710.7769999998</v>
      </c>
      <c r="R8" s="82" t="s">
        <v>180</v>
      </c>
      <c r="S8" s="61">
        <v>70000</v>
      </c>
      <c r="T8" s="62">
        <v>56000</v>
      </c>
      <c r="U8" s="62">
        <v>37000</v>
      </c>
      <c r="V8" s="63">
        <v>28000</v>
      </c>
      <c r="W8" s="62">
        <v>18000</v>
      </c>
      <c r="X8" s="64">
        <v>10000</v>
      </c>
      <c r="Y8" s="65" t="s">
        <v>181</v>
      </c>
      <c r="Z8" s="65" t="s">
        <v>182</v>
      </c>
      <c r="AA8" s="65" t="s">
        <v>183</v>
      </c>
      <c r="AB8" s="65" t="s">
        <v>184</v>
      </c>
      <c r="AC8" s="66" t="s">
        <v>185</v>
      </c>
    </row>
    <row r="9" spans="2:29" ht="13.5" thickBot="1" x14ac:dyDescent="0.25">
      <c r="B9" s="5" t="s">
        <v>11</v>
      </c>
      <c r="C9" s="13">
        <f>1038961/4</f>
        <v>259740.25</v>
      </c>
      <c r="D9" s="13">
        <f>503102/4</f>
        <v>125775.5</v>
      </c>
      <c r="E9" s="13">
        <f>687967/4</f>
        <v>171991.75</v>
      </c>
      <c r="F9" s="13">
        <f>841528/4</f>
        <v>210382</v>
      </c>
      <c r="G9" s="13">
        <f>SUM(C9:F9)</f>
        <v>767889.5</v>
      </c>
      <c r="I9" s="13">
        <f>665732.38/4</f>
        <v>166433.095</v>
      </c>
      <c r="J9" s="13">
        <f>973080.43/4</f>
        <v>243270.10750000001</v>
      </c>
      <c r="K9" s="13">
        <f>698948.35/4</f>
        <v>174737.08749999999</v>
      </c>
      <c r="L9" s="13">
        <f>600341.94/4</f>
        <v>150085.48499999999</v>
      </c>
      <c r="M9" s="13">
        <f>SUM(I9:L9)</f>
        <v>734525.77500000002</v>
      </c>
      <c r="O9" s="34"/>
      <c r="P9" s="34"/>
      <c r="Q9" s="35"/>
      <c r="R9" s="76" t="s">
        <v>175</v>
      </c>
      <c r="S9" s="86"/>
      <c r="T9" s="84"/>
      <c r="U9" s="84"/>
      <c r="V9" s="57">
        <v>30</v>
      </c>
      <c r="W9" s="84">
        <v>5</v>
      </c>
      <c r="X9" s="87">
        <v>2</v>
      </c>
      <c r="Y9" s="83">
        <f>SUM(S9:X9)</f>
        <v>37</v>
      </c>
      <c r="Z9" s="79">
        <f>($S$8*S9)+($T$8*T9)+($U$8*U9)+($V$8*V9)+($W$8*W9)+($X$8*X9)</f>
        <v>950000</v>
      </c>
      <c r="AA9" s="73">
        <f>Z9/Y9</f>
        <v>25675.675675675677</v>
      </c>
      <c r="AB9" s="67">
        <f>Z9/$S$5</f>
        <v>0.39904049209922154</v>
      </c>
      <c r="AC9" s="68">
        <f>Z9/$R$5</f>
        <v>1.0066225165562903</v>
      </c>
    </row>
    <row r="10" spans="2:29" ht="13.5" thickTop="1" x14ac:dyDescent="0.2">
      <c r="C10" s="7"/>
      <c r="D10" s="7"/>
      <c r="E10" s="7"/>
      <c r="F10" s="7"/>
      <c r="G10" s="7"/>
      <c r="O10" s="39" t="s">
        <v>163</v>
      </c>
      <c r="P10" s="38">
        <v>0.85</v>
      </c>
      <c r="R10" s="77" t="s">
        <v>176</v>
      </c>
      <c r="S10" s="86">
        <v>1</v>
      </c>
      <c r="T10" s="84">
        <v>2</v>
      </c>
      <c r="U10" s="84">
        <v>3</v>
      </c>
      <c r="V10" s="57">
        <v>20</v>
      </c>
      <c r="W10" s="84">
        <v>4</v>
      </c>
      <c r="X10" s="87">
        <v>2</v>
      </c>
      <c r="Y10" s="84">
        <f t="shared" ref="Y10:Y13" si="0">SUM(S10:X10)</f>
        <v>32</v>
      </c>
      <c r="Z10" s="80">
        <f>($S$8*S10)+($T$8*T10)+($U$8*U10)+($V$8*V10)+($W$8*W10)+($X$8*X10)</f>
        <v>945000</v>
      </c>
      <c r="AA10" s="74">
        <f t="shared" ref="AA10:AA13" si="1">Z10/Y10</f>
        <v>29531.25</v>
      </c>
      <c r="AB10" s="69">
        <f t="shared" ref="AB10:AB13" si="2">Z10/$S$5</f>
        <v>0.39694027898290984</v>
      </c>
      <c r="AC10" s="70">
        <f t="shared" ref="AC10:AC13" si="3">Z10/$R$5</f>
        <v>1.0013245033112572</v>
      </c>
    </row>
    <row r="11" spans="2:29" s="21" customFormat="1" x14ac:dyDescent="0.2">
      <c r="M11" s="26"/>
      <c r="O11" s="40" t="s">
        <v>167</v>
      </c>
      <c r="P11" s="30">
        <f>G23*P10</f>
        <v>2023604.1604499999</v>
      </c>
      <c r="R11" s="77" t="s">
        <v>177</v>
      </c>
      <c r="S11" s="86">
        <v>2</v>
      </c>
      <c r="T11" s="84">
        <v>3</v>
      </c>
      <c r="U11" s="84">
        <v>4</v>
      </c>
      <c r="V11" s="57">
        <v>15</v>
      </c>
      <c r="W11" s="84">
        <v>3</v>
      </c>
      <c r="X11" s="87">
        <v>2</v>
      </c>
      <c r="Y11" s="84">
        <f t="shared" si="0"/>
        <v>29</v>
      </c>
      <c r="Z11" s="80">
        <f>($S$8*S11)+($T$8*T11)+($U$8*U11)+($V$8*V11)+($W$8*W11)+($X$8*X11)</f>
        <v>950000</v>
      </c>
      <c r="AA11" s="74">
        <f t="shared" si="1"/>
        <v>32758.620689655174</v>
      </c>
      <c r="AB11" s="69">
        <f t="shared" si="2"/>
        <v>0.39904049209922154</v>
      </c>
      <c r="AC11" s="70">
        <f t="shared" si="3"/>
        <v>1.0066225165562903</v>
      </c>
    </row>
    <row r="12" spans="2:29" s="6" customFormat="1" x14ac:dyDescent="0.2">
      <c r="B12" s="20" t="s">
        <v>144</v>
      </c>
      <c r="C12" s="24" t="s">
        <v>145</v>
      </c>
      <c r="D12" s="24" t="s">
        <v>146</v>
      </c>
      <c r="E12" s="24" t="s">
        <v>147</v>
      </c>
      <c r="F12" s="24" t="s">
        <v>148</v>
      </c>
      <c r="G12" s="24" t="s">
        <v>16</v>
      </c>
      <c r="O12" s="41" t="s">
        <v>168</v>
      </c>
      <c r="P12" s="33">
        <f>ROUNDUP(P6*P10,0)</f>
        <v>73</v>
      </c>
      <c r="R12" s="77" t="s">
        <v>178</v>
      </c>
      <c r="S12" s="88">
        <v>3</v>
      </c>
      <c r="T12" s="89">
        <v>4</v>
      </c>
      <c r="U12" s="89">
        <v>5</v>
      </c>
      <c r="V12" s="90">
        <v>10</v>
      </c>
      <c r="W12" s="89">
        <v>2</v>
      </c>
      <c r="X12" s="91">
        <v>1</v>
      </c>
      <c r="Y12" s="84">
        <f t="shared" si="0"/>
        <v>25</v>
      </c>
      <c r="Z12" s="80">
        <f>($S$8*S12)+($T$8*T12)+($U$8*U12)+($V$8*V12)+($W$8*W12)+($X$8*X12)</f>
        <v>945000</v>
      </c>
      <c r="AA12" s="74">
        <f t="shared" si="1"/>
        <v>37800</v>
      </c>
      <c r="AB12" s="69">
        <f t="shared" si="2"/>
        <v>0.39694027898290984</v>
      </c>
      <c r="AC12" s="70">
        <f t="shared" si="3"/>
        <v>1.0013245033112572</v>
      </c>
    </row>
    <row r="13" spans="2:29" s="6" customFormat="1" ht="13.5" thickBot="1" x14ac:dyDescent="0.25">
      <c r="B13" s="5" t="s">
        <v>149</v>
      </c>
      <c r="C13" s="7">
        <f>774165.562913907/4</f>
        <v>193541.39072847675</v>
      </c>
      <c r="D13" s="7">
        <f>788894.039735099/4</f>
        <v>197223.50993377474</v>
      </c>
      <c r="E13" s="7">
        <f>866218.543046358/4</f>
        <v>216554.63576158951</v>
      </c>
      <c r="F13" s="7">
        <f>1045721.85430464/4</f>
        <v>261430.46357615999</v>
      </c>
      <c r="G13" s="7">
        <f>SUM(C13:F13)</f>
        <v>868750.00000000105</v>
      </c>
      <c r="O13" s="42"/>
      <c r="P13" s="42"/>
      <c r="R13" s="78" t="s">
        <v>179</v>
      </c>
      <c r="S13" s="92">
        <v>4</v>
      </c>
      <c r="T13" s="93">
        <v>5</v>
      </c>
      <c r="U13" s="93">
        <v>6</v>
      </c>
      <c r="V13" s="94">
        <v>5</v>
      </c>
      <c r="W13" s="93">
        <v>1</v>
      </c>
      <c r="X13" s="95">
        <v>1</v>
      </c>
      <c r="Y13" s="85">
        <f t="shared" si="0"/>
        <v>22</v>
      </c>
      <c r="Z13" s="81">
        <f>($S$8*S13)+($T$8*T13)+($U$8*U13)+($V$8*V13)+($W$8*W13)+($X$8*X13)</f>
        <v>950000</v>
      </c>
      <c r="AA13" s="75">
        <f t="shared" si="1"/>
        <v>43181.818181818184</v>
      </c>
      <c r="AB13" s="71">
        <f t="shared" si="2"/>
        <v>0.39904049209922154</v>
      </c>
      <c r="AC13" s="72">
        <f t="shared" si="3"/>
        <v>1.0066225165562903</v>
      </c>
    </row>
    <row r="14" spans="2:29" s="6" customFormat="1" x14ac:dyDescent="0.2">
      <c r="B14" s="5" t="s">
        <v>150</v>
      </c>
      <c r="C14" s="7">
        <f>66834.4370860927/4</f>
        <v>16708.609271523175</v>
      </c>
      <c r="D14" s="7">
        <f>68105.9602649007/4</f>
        <v>17026.490066225175</v>
      </c>
      <c r="E14" s="7">
        <f>74781.4569536424/4</f>
        <v>18695.364238410599</v>
      </c>
      <c r="F14" s="7">
        <f>90278.1456953642/4</f>
        <v>22569.536423841051</v>
      </c>
      <c r="G14" s="7">
        <f>SUM(C14:F14)</f>
        <v>75000</v>
      </c>
      <c r="O14" s="43" t="s">
        <v>164</v>
      </c>
      <c r="P14" s="38">
        <v>0.15</v>
      </c>
      <c r="Z14" s="5"/>
    </row>
    <row r="15" spans="2:29" ht="13.5" thickBot="1" x14ac:dyDescent="0.25">
      <c r="B15" s="6" t="s">
        <v>151</v>
      </c>
      <c r="C15" s="16">
        <f>C13+C14</f>
        <v>210249.99999999991</v>
      </c>
      <c r="D15" s="16">
        <f t="shared" ref="D15:G15" si="4">D13+D14</f>
        <v>214249.99999999991</v>
      </c>
      <c r="E15" s="16">
        <f t="shared" si="4"/>
        <v>235250.00000000012</v>
      </c>
      <c r="F15" s="16">
        <f t="shared" si="4"/>
        <v>284000.00000000105</v>
      </c>
      <c r="G15" s="16">
        <f t="shared" si="4"/>
        <v>943750.00000000105</v>
      </c>
      <c r="O15" s="44" t="s">
        <v>165</v>
      </c>
      <c r="P15" s="30">
        <f>G23*P14</f>
        <v>357106.61654999998</v>
      </c>
    </row>
    <row r="16" spans="2:29" ht="13.5" thickTop="1" x14ac:dyDescent="0.2">
      <c r="B16" s="5" t="s">
        <v>17</v>
      </c>
      <c r="C16" s="19">
        <f>(C15-I9)/I9</f>
        <v>0.26327038501567196</v>
      </c>
      <c r="D16" s="19">
        <f>(D15-J9)/J9</f>
        <v>-0.11929171158030626</v>
      </c>
      <c r="E16" s="19">
        <f>(E15-K9)/K9</f>
        <v>0.34630835025220463</v>
      </c>
      <c r="F16" s="19">
        <f>(F15-L9)/L9</f>
        <v>0.89225493724460481</v>
      </c>
      <c r="G16" s="19">
        <f>(G15-M9)/M9</f>
        <v>0.28484259112622839</v>
      </c>
      <c r="I16" s="15"/>
      <c r="O16" s="45" t="s">
        <v>166</v>
      </c>
      <c r="P16" s="31">
        <f>ROUNDDOWN(P6*P14,0)</f>
        <v>12</v>
      </c>
    </row>
    <row r="17" spans="2:16" x14ac:dyDescent="0.2">
      <c r="L17" s="14"/>
      <c r="O17" s="35"/>
      <c r="P17" s="35"/>
    </row>
    <row r="18" spans="2:16" x14ac:dyDescent="0.2">
      <c r="B18" s="6" t="s">
        <v>152</v>
      </c>
      <c r="O18" s="47" t="s">
        <v>170</v>
      </c>
      <c r="P18" s="48">
        <f>(P11+P15)/12</f>
        <v>198392.56474999999</v>
      </c>
    </row>
    <row r="19" spans="2:16" x14ac:dyDescent="0.2">
      <c r="B19" s="5" t="s">
        <v>153</v>
      </c>
      <c r="C19" s="8">
        <f>I4</f>
        <v>463744.45250000001</v>
      </c>
      <c r="D19" s="8">
        <f>J4</f>
        <v>281437.27</v>
      </c>
      <c r="E19" s="8">
        <f>K4</f>
        <v>420159.63500000001</v>
      </c>
      <c r="F19" s="8">
        <f>L4</f>
        <v>348552.84250000003</v>
      </c>
      <c r="G19" s="8">
        <f t="shared" ref="G19:G23" si="5">SUM(C19:F19)</f>
        <v>1513894.2</v>
      </c>
      <c r="I19" s="9"/>
      <c r="O19" s="45" t="s">
        <v>171</v>
      </c>
      <c r="P19" s="31">
        <f>ROUND((P12+P16)/12,0)</f>
        <v>7</v>
      </c>
    </row>
    <row r="20" spans="2:16" x14ac:dyDescent="0.2">
      <c r="B20" s="5" t="s">
        <v>18</v>
      </c>
      <c r="C20" s="7">
        <f>C19*$C$30</f>
        <v>23187.222625000002</v>
      </c>
      <c r="D20" s="7">
        <f>D19*$C$30</f>
        <v>14071.863500000001</v>
      </c>
      <c r="E20" s="7">
        <f>E19*$C$30</f>
        <v>21007.981750000003</v>
      </c>
      <c r="F20" s="7">
        <f>F19*$C$30</f>
        <v>17427.642125000002</v>
      </c>
      <c r="G20" s="8">
        <f t="shared" si="5"/>
        <v>75694.710000000006</v>
      </c>
      <c r="I20" s="9"/>
    </row>
    <row r="21" spans="2:16" x14ac:dyDescent="0.2">
      <c r="B21" s="5" t="s">
        <v>19</v>
      </c>
      <c r="C21" s="7">
        <f>C19*$C$31</f>
        <v>37099.556199999999</v>
      </c>
      <c r="D21" s="7">
        <f>D19*$C$31</f>
        <v>22514.981600000003</v>
      </c>
      <c r="E21" s="7">
        <f>E19*$C$31</f>
        <v>33612.770799999998</v>
      </c>
      <c r="F21" s="7">
        <f>F19*$C$31</f>
        <v>27884.227400000003</v>
      </c>
      <c r="G21" s="7">
        <f t="shared" si="5"/>
        <v>121111.53600000001</v>
      </c>
      <c r="I21" s="9"/>
      <c r="O21" s="51" t="s">
        <v>172</v>
      </c>
      <c r="P21" s="50">
        <f>ROUND((P11+P15)/P4,1)</f>
        <v>2.5</v>
      </c>
    </row>
    <row r="22" spans="2:16" x14ac:dyDescent="0.2">
      <c r="B22" s="5" t="s">
        <v>20</v>
      </c>
      <c r="C22" s="8">
        <f>I5*(1+$C$33)</f>
        <v>157601.79517500001</v>
      </c>
      <c r="D22" s="8">
        <f>J5*(1+$C$33)</f>
        <v>214407.70389999999</v>
      </c>
      <c r="E22" s="8">
        <f>K5*(1+$C$33)</f>
        <v>140201.81149999995</v>
      </c>
      <c r="F22" s="8">
        <f>L5*(1+$C$33)</f>
        <v>157799.02042499997</v>
      </c>
      <c r="G22" s="7">
        <f t="shared" si="5"/>
        <v>670010.33099999989</v>
      </c>
      <c r="I22" s="9"/>
    </row>
    <row r="23" spans="2:16" ht="13.5" thickBot="1" x14ac:dyDescent="0.25">
      <c r="B23" s="5" t="s">
        <v>21</v>
      </c>
      <c r="C23" s="13">
        <f>SUM(C19:C22)</f>
        <v>681633.02650000004</v>
      </c>
      <c r="D23" s="13">
        <f>SUM(D19:D22)</f>
        <v>532431.81900000002</v>
      </c>
      <c r="E23" s="13">
        <f>SUM(E19:E22)</f>
        <v>614982.19904999994</v>
      </c>
      <c r="F23" s="13">
        <f>SUM(F19:F22)</f>
        <v>551663.73245000001</v>
      </c>
      <c r="G23" s="13">
        <f t="shared" si="5"/>
        <v>2380710.7769999998</v>
      </c>
      <c r="I23" s="12"/>
    </row>
    <row r="24" spans="2:16" ht="13.5" thickTop="1" x14ac:dyDescent="0.2">
      <c r="B24" s="5" t="s">
        <v>22</v>
      </c>
      <c r="C24" s="11">
        <f>C23/C15</f>
        <v>3.2420120166468505</v>
      </c>
      <c r="D24" s="11">
        <f>D23/D15</f>
        <v>2.4850960046674455</v>
      </c>
      <c r="E24" s="11">
        <f>E23/E15</f>
        <v>2.6141645018065871</v>
      </c>
      <c r="F24" s="11">
        <f>F23/F15</f>
        <v>1.9424779311619647</v>
      </c>
      <c r="G24" s="11">
        <f>G23/G15</f>
        <v>2.5226074458278114</v>
      </c>
    </row>
    <row r="25" spans="2:16" x14ac:dyDescent="0.2">
      <c r="B25" s="5" t="s">
        <v>23</v>
      </c>
      <c r="C25" s="10">
        <f>C23*$C$32</f>
        <v>272653.21060000005</v>
      </c>
      <c r="D25" s="10">
        <f>D23*$C$32</f>
        <v>212972.72760000001</v>
      </c>
      <c r="E25" s="10">
        <f>E23*$C$32</f>
        <v>245992.87961999999</v>
      </c>
      <c r="F25" s="10">
        <f>F23*$C$32</f>
        <v>220665.49298000001</v>
      </c>
      <c r="G25" s="10">
        <f>SUM(C25:F25)</f>
        <v>952284.31080000009</v>
      </c>
    </row>
    <row r="26" spans="2:16" x14ac:dyDescent="0.2">
      <c r="B26" s="5" t="s">
        <v>24</v>
      </c>
      <c r="C26" s="7">
        <f>C25-C15</f>
        <v>62403.210600000137</v>
      </c>
      <c r="D26" s="7">
        <f>D25-D15</f>
        <v>-1277.2723999998998</v>
      </c>
      <c r="E26" s="7">
        <f>E25-E15</f>
        <v>10742.879619999876</v>
      </c>
      <c r="F26" s="7">
        <f>F25-F15</f>
        <v>-63334.507020001038</v>
      </c>
      <c r="G26" s="7">
        <f>G25-G15</f>
        <v>8534.3107999990461</v>
      </c>
    </row>
    <row r="28" spans="2:16" x14ac:dyDescent="0.2">
      <c r="B28" s="96" t="s">
        <v>25</v>
      </c>
      <c r="C28" s="97"/>
      <c r="D28" s="97"/>
      <c r="E28" s="97"/>
      <c r="F28" s="97"/>
      <c r="G28" s="98"/>
    </row>
    <row r="29" spans="2:16" x14ac:dyDescent="0.2">
      <c r="B29" s="6" t="s">
        <v>26</v>
      </c>
      <c r="C29" s="6" t="s">
        <v>27</v>
      </c>
      <c r="D29" s="6" t="s">
        <v>5</v>
      </c>
    </row>
    <row r="30" spans="2:16" x14ac:dyDescent="0.2">
      <c r="B30" s="5" t="s">
        <v>18</v>
      </c>
      <c r="C30" s="25">
        <v>0.05</v>
      </c>
      <c r="D30" s="5" t="s">
        <v>157</v>
      </c>
    </row>
    <row r="31" spans="2:16" x14ac:dyDescent="0.2">
      <c r="B31" s="5" t="s">
        <v>28</v>
      </c>
      <c r="C31" s="25">
        <v>0.08</v>
      </c>
      <c r="D31" s="5" t="s">
        <v>154</v>
      </c>
    </row>
    <row r="32" spans="2:16" x14ac:dyDescent="0.2">
      <c r="B32" s="5" t="s">
        <v>3</v>
      </c>
      <c r="C32" s="25">
        <v>0.4</v>
      </c>
      <c r="D32" s="5" t="s">
        <v>156</v>
      </c>
    </row>
    <row r="33" spans="2:18" x14ac:dyDescent="0.2">
      <c r="B33" s="5" t="s">
        <v>29</v>
      </c>
      <c r="C33" s="25">
        <v>-0.03</v>
      </c>
      <c r="D33" s="5" t="s">
        <v>155</v>
      </c>
    </row>
    <row r="35" spans="2:18" x14ac:dyDescent="0.2">
      <c r="N35" s="9"/>
      <c r="O35" s="9"/>
      <c r="P35" s="9"/>
      <c r="Q35" s="9"/>
      <c r="R35" s="9"/>
    </row>
    <row r="36" spans="2:18" x14ac:dyDescent="0.2">
      <c r="N36" s="8"/>
      <c r="O36" s="8"/>
      <c r="P36" s="8"/>
      <c r="Q36" s="8"/>
      <c r="R36" s="8"/>
    </row>
    <row r="39" spans="2:18" x14ac:dyDescent="0.2">
      <c r="N39" s="7"/>
      <c r="O39" s="7"/>
      <c r="P39" s="7"/>
      <c r="Q39" s="7"/>
      <c r="R39" s="7"/>
    </row>
  </sheetData>
  <mergeCells count="1">
    <mergeCell ref="B28:G28"/>
  </mergeCells>
  <phoneticPr fontId="21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showGridLines="0" workbookViewId="0">
      <selection activeCell="M39" sqref="A1:M39"/>
    </sheetView>
  </sheetViews>
  <sheetFormatPr defaultRowHeight="15" x14ac:dyDescent="0.25"/>
  <cols>
    <col min="1" max="1" width="11.28515625" bestFit="1" customWidth="1"/>
    <col min="2" max="2" width="13.140625" bestFit="1" customWidth="1"/>
    <col min="3" max="3" width="12.7109375" bestFit="1" customWidth="1"/>
    <col min="4" max="4" width="17.5703125" bestFit="1" customWidth="1"/>
    <col min="5" max="5" width="30.28515625" bestFit="1" customWidth="1"/>
    <col min="6" max="6" width="29.5703125" bestFit="1" customWidth="1"/>
    <col min="7" max="7" width="22.85546875" bestFit="1" customWidth="1"/>
    <col min="8" max="8" width="11.85546875" bestFit="1" customWidth="1"/>
    <col min="9" max="9" width="14.85546875" bestFit="1" customWidth="1"/>
  </cols>
  <sheetData>
    <row r="1" spans="1:13" ht="30" x14ac:dyDescent="0.25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1</v>
      </c>
      <c r="J1" s="1" t="s">
        <v>38</v>
      </c>
      <c r="K1" s="1" t="s">
        <v>39</v>
      </c>
      <c r="L1" s="1" t="s">
        <v>40</v>
      </c>
      <c r="M1" s="1" t="s">
        <v>41</v>
      </c>
    </row>
    <row r="2" spans="1:13" ht="30" x14ac:dyDescent="0.25">
      <c r="A2" s="2" t="s">
        <v>42</v>
      </c>
      <c r="B2" s="2" t="s">
        <v>43</v>
      </c>
      <c r="C2" s="2" t="s">
        <v>44</v>
      </c>
      <c r="D2" s="2" t="s">
        <v>45</v>
      </c>
      <c r="E2" s="2" t="s">
        <v>46</v>
      </c>
      <c r="F2" s="2" t="s">
        <v>47</v>
      </c>
      <c r="G2" s="3">
        <v>13250</v>
      </c>
      <c r="H2" s="4">
        <v>42774</v>
      </c>
      <c r="I2" s="2" t="s">
        <v>48</v>
      </c>
      <c r="J2">
        <f>MONTH(H2)</f>
        <v>2</v>
      </c>
      <c r="K2" t="str">
        <f t="shared" ref="K2:K39" si="0">INDEX(thequarter,MATCH(J2,themonth,0),2)</f>
        <v>Q1</v>
      </c>
      <c r="L2">
        <f>YEAR(H2)</f>
        <v>2017</v>
      </c>
      <c r="M2" t="str">
        <f>CONCATENATE(K2&amp;" "&amp;L2)</f>
        <v>Q1 2017</v>
      </c>
    </row>
    <row r="3" spans="1:13" ht="30" x14ac:dyDescent="0.25">
      <c r="A3" s="2" t="s">
        <v>42</v>
      </c>
      <c r="B3" s="2"/>
      <c r="C3" s="2"/>
      <c r="D3" s="2" t="s">
        <v>49</v>
      </c>
      <c r="E3" s="2" t="s">
        <v>50</v>
      </c>
      <c r="F3" s="2" t="s">
        <v>51</v>
      </c>
      <c r="G3" s="3">
        <v>13250</v>
      </c>
      <c r="H3" s="4">
        <v>42790</v>
      </c>
      <c r="I3" s="2" t="s">
        <v>48</v>
      </c>
      <c r="J3">
        <f t="shared" ref="J3:J39" si="1">MONTH(H3)</f>
        <v>2</v>
      </c>
      <c r="K3" t="str">
        <f t="shared" si="0"/>
        <v>Q1</v>
      </c>
      <c r="L3">
        <f t="shared" ref="L3:L39" si="2">YEAR(H3)</f>
        <v>2017</v>
      </c>
      <c r="M3" t="str">
        <f t="shared" ref="M3:M39" si="3">CONCATENATE(K3&amp;" "&amp;L3)</f>
        <v>Q1 2017</v>
      </c>
    </row>
    <row r="4" spans="1:13" x14ac:dyDescent="0.25">
      <c r="A4" s="2" t="s">
        <v>42</v>
      </c>
      <c r="B4" s="2"/>
      <c r="C4" s="2"/>
      <c r="D4" s="2" t="s">
        <v>52</v>
      </c>
      <c r="E4" s="2" t="s">
        <v>53</v>
      </c>
      <c r="F4" s="2" t="s">
        <v>54</v>
      </c>
      <c r="G4" s="3">
        <v>2400</v>
      </c>
      <c r="H4" s="4">
        <v>42797</v>
      </c>
      <c r="I4" s="2" t="s">
        <v>48</v>
      </c>
      <c r="J4">
        <f t="shared" si="1"/>
        <v>3</v>
      </c>
      <c r="K4" t="str">
        <f t="shared" si="0"/>
        <v>Q1</v>
      </c>
      <c r="L4">
        <f t="shared" si="2"/>
        <v>2017</v>
      </c>
      <c r="M4" t="str">
        <f t="shared" si="3"/>
        <v>Q1 2017</v>
      </c>
    </row>
    <row r="5" spans="1:13" x14ac:dyDescent="0.25">
      <c r="A5" s="2" t="s">
        <v>42</v>
      </c>
      <c r="B5" s="2"/>
      <c r="C5" s="2"/>
      <c r="D5" s="2" t="s">
        <v>55</v>
      </c>
      <c r="E5" s="2" t="s">
        <v>56</v>
      </c>
      <c r="F5" s="2" t="s">
        <v>57</v>
      </c>
      <c r="G5" s="3">
        <v>7900</v>
      </c>
      <c r="H5" s="4">
        <v>42801</v>
      </c>
      <c r="I5" s="2" t="s">
        <v>48</v>
      </c>
      <c r="J5">
        <f t="shared" si="1"/>
        <v>3</v>
      </c>
      <c r="K5" t="str">
        <f t="shared" si="0"/>
        <v>Q1</v>
      </c>
      <c r="L5">
        <f t="shared" si="2"/>
        <v>2017</v>
      </c>
      <c r="M5" t="str">
        <f t="shared" si="3"/>
        <v>Q1 2017</v>
      </c>
    </row>
    <row r="6" spans="1:13" ht="30" x14ac:dyDescent="0.25">
      <c r="A6" s="2" t="s">
        <v>58</v>
      </c>
      <c r="B6" s="2" t="s">
        <v>43</v>
      </c>
      <c r="C6" s="2" t="s">
        <v>59</v>
      </c>
      <c r="D6" s="2" t="s">
        <v>60</v>
      </c>
      <c r="E6" s="2" t="s">
        <v>61</v>
      </c>
      <c r="F6" s="2" t="s">
        <v>62</v>
      </c>
      <c r="G6" s="3">
        <v>11284.92</v>
      </c>
      <c r="H6" s="4">
        <v>42879</v>
      </c>
      <c r="I6" s="2" t="s">
        <v>2</v>
      </c>
      <c r="J6">
        <f t="shared" si="1"/>
        <v>5</v>
      </c>
      <c r="K6" t="str">
        <f t="shared" si="0"/>
        <v>Q2</v>
      </c>
      <c r="L6">
        <f t="shared" si="2"/>
        <v>2017</v>
      </c>
      <c r="M6" t="str">
        <f t="shared" si="3"/>
        <v>Q2 2017</v>
      </c>
    </row>
    <row r="7" spans="1:13" x14ac:dyDescent="0.25">
      <c r="A7" s="2" t="s">
        <v>42</v>
      </c>
      <c r="B7" s="2"/>
      <c r="C7" s="2"/>
      <c r="D7" s="2" t="s">
        <v>55</v>
      </c>
      <c r="E7" s="2" t="s">
        <v>63</v>
      </c>
      <c r="F7" s="2" t="s">
        <v>64</v>
      </c>
      <c r="G7" s="3">
        <v>1238.4000000000001</v>
      </c>
      <c r="H7" s="4">
        <v>42902</v>
      </c>
      <c r="I7" s="2" t="s">
        <v>2</v>
      </c>
      <c r="J7">
        <f t="shared" si="1"/>
        <v>6</v>
      </c>
      <c r="K7" t="str">
        <f t="shared" si="0"/>
        <v>Q2</v>
      </c>
      <c r="L7">
        <f t="shared" si="2"/>
        <v>2017</v>
      </c>
      <c r="M7" t="str">
        <f t="shared" si="3"/>
        <v>Q2 2017</v>
      </c>
    </row>
    <row r="8" spans="1:13" x14ac:dyDescent="0.25">
      <c r="A8" s="2" t="s">
        <v>42</v>
      </c>
      <c r="B8" s="2"/>
      <c r="C8" s="2"/>
      <c r="D8" s="2" t="s">
        <v>55</v>
      </c>
      <c r="E8" s="2" t="s">
        <v>65</v>
      </c>
      <c r="F8" s="2" t="s">
        <v>66</v>
      </c>
      <c r="G8" s="3">
        <v>1150</v>
      </c>
      <c r="H8" s="4">
        <v>42909</v>
      </c>
      <c r="I8" s="2" t="s">
        <v>2</v>
      </c>
      <c r="J8">
        <f t="shared" si="1"/>
        <v>6</v>
      </c>
      <c r="K8" t="str">
        <f t="shared" si="0"/>
        <v>Q2</v>
      </c>
      <c r="L8">
        <f t="shared" si="2"/>
        <v>2017</v>
      </c>
      <c r="M8" t="str">
        <f t="shared" si="3"/>
        <v>Q2 2017</v>
      </c>
    </row>
    <row r="9" spans="1:13" x14ac:dyDescent="0.25">
      <c r="A9" s="2" t="s">
        <v>42</v>
      </c>
      <c r="B9" s="2" t="s">
        <v>42</v>
      </c>
      <c r="C9" s="2"/>
      <c r="D9" s="2" t="s">
        <v>67</v>
      </c>
      <c r="E9" s="2" t="s">
        <v>68</v>
      </c>
      <c r="F9" s="2" t="s">
        <v>69</v>
      </c>
      <c r="G9" s="3">
        <v>3820.8</v>
      </c>
      <c r="H9" s="4">
        <v>42926</v>
      </c>
      <c r="I9" s="2" t="s">
        <v>2</v>
      </c>
      <c r="J9">
        <f t="shared" si="1"/>
        <v>7</v>
      </c>
      <c r="K9" t="str">
        <f t="shared" si="0"/>
        <v>Q3</v>
      </c>
      <c r="L9">
        <f t="shared" si="2"/>
        <v>2017</v>
      </c>
      <c r="M9" t="str">
        <f t="shared" si="3"/>
        <v>Q3 2017</v>
      </c>
    </row>
    <row r="10" spans="1:13" x14ac:dyDescent="0.25">
      <c r="A10" s="2" t="s">
        <v>42</v>
      </c>
      <c r="B10" s="2"/>
      <c r="C10" s="2"/>
      <c r="D10" s="2" t="s">
        <v>55</v>
      </c>
      <c r="E10" s="2" t="s">
        <v>70</v>
      </c>
      <c r="F10" s="2" t="s">
        <v>71</v>
      </c>
      <c r="G10" s="3">
        <v>1300</v>
      </c>
      <c r="H10" s="4">
        <v>42972</v>
      </c>
      <c r="I10" s="2" t="s">
        <v>2</v>
      </c>
      <c r="J10">
        <f t="shared" si="1"/>
        <v>8</v>
      </c>
      <c r="K10" t="str">
        <f t="shared" si="0"/>
        <v>Q3</v>
      </c>
      <c r="L10">
        <f t="shared" si="2"/>
        <v>2017</v>
      </c>
      <c r="M10" t="str">
        <f t="shared" si="3"/>
        <v>Q3 2017</v>
      </c>
    </row>
    <row r="11" spans="1:13" x14ac:dyDescent="0.25">
      <c r="A11" s="2" t="s">
        <v>42</v>
      </c>
      <c r="B11" s="2"/>
      <c r="C11" s="2"/>
      <c r="D11" s="2" t="s">
        <v>49</v>
      </c>
      <c r="E11" s="2" t="s">
        <v>72</v>
      </c>
      <c r="F11" s="2" t="s">
        <v>73</v>
      </c>
      <c r="G11" s="3">
        <v>60000</v>
      </c>
      <c r="H11" s="4">
        <v>42972</v>
      </c>
      <c r="I11" s="2" t="s">
        <v>48</v>
      </c>
      <c r="J11">
        <f t="shared" si="1"/>
        <v>8</v>
      </c>
      <c r="K11" t="str">
        <f t="shared" si="0"/>
        <v>Q3</v>
      </c>
      <c r="L11">
        <f t="shared" si="2"/>
        <v>2017</v>
      </c>
      <c r="M11" t="str">
        <f t="shared" si="3"/>
        <v>Q3 2017</v>
      </c>
    </row>
    <row r="12" spans="1:13" x14ac:dyDescent="0.25">
      <c r="A12" s="2" t="s">
        <v>58</v>
      </c>
      <c r="B12" s="2"/>
      <c r="C12" s="2"/>
      <c r="D12" s="2" t="s">
        <v>60</v>
      </c>
      <c r="E12" s="2" t="s">
        <v>74</v>
      </c>
      <c r="F12" s="2" t="s">
        <v>75</v>
      </c>
      <c r="G12" s="3">
        <v>72107.81</v>
      </c>
      <c r="H12" s="4">
        <v>42986</v>
      </c>
      <c r="I12" s="2" t="s">
        <v>2</v>
      </c>
      <c r="J12">
        <f t="shared" si="1"/>
        <v>9</v>
      </c>
      <c r="K12" t="str">
        <f t="shared" si="0"/>
        <v>Q3</v>
      </c>
      <c r="L12">
        <f t="shared" si="2"/>
        <v>2017</v>
      </c>
      <c r="M12" t="str">
        <f t="shared" si="3"/>
        <v>Q3 2017</v>
      </c>
    </row>
    <row r="13" spans="1:13" x14ac:dyDescent="0.25">
      <c r="A13" s="2" t="s">
        <v>42</v>
      </c>
      <c r="B13" s="2"/>
      <c r="C13" s="2"/>
      <c r="D13" s="2" t="s">
        <v>45</v>
      </c>
      <c r="E13" s="2" t="s">
        <v>76</v>
      </c>
      <c r="F13" s="2" t="s">
        <v>77</v>
      </c>
      <c r="G13" s="3">
        <v>3000</v>
      </c>
      <c r="H13" s="4">
        <v>43020</v>
      </c>
      <c r="I13" s="2" t="s">
        <v>2</v>
      </c>
      <c r="J13">
        <f t="shared" si="1"/>
        <v>10</v>
      </c>
      <c r="K13" t="str">
        <f t="shared" si="0"/>
        <v>Q4</v>
      </c>
      <c r="L13">
        <f t="shared" si="2"/>
        <v>2017</v>
      </c>
      <c r="M13" t="str">
        <f t="shared" si="3"/>
        <v>Q4 2017</v>
      </c>
    </row>
    <row r="14" spans="1:13" x14ac:dyDescent="0.25">
      <c r="A14" s="2" t="s">
        <v>42</v>
      </c>
      <c r="B14" s="2"/>
      <c r="C14" s="2"/>
      <c r="D14" s="2" t="s">
        <v>55</v>
      </c>
      <c r="E14" s="2" t="s">
        <v>78</v>
      </c>
      <c r="F14" s="2" t="s">
        <v>79</v>
      </c>
      <c r="G14" s="3">
        <v>4507.01</v>
      </c>
      <c r="H14" s="4">
        <v>43027</v>
      </c>
      <c r="I14" s="2" t="s">
        <v>2</v>
      </c>
      <c r="J14">
        <f t="shared" si="1"/>
        <v>10</v>
      </c>
      <c r="K14" t="str">
        <f t="shared" si="0"/>
        <v>Q4</v>
      </c>
      <c r="L14">
        <f t="shared" si="2"/>
        <v>2017</v>
      </c>
      <c r="M14" t="str">
        <f t="shared" si="3"/>
        <v>Q4 2017</v>
      </c>
    </row>
    <row r="15" spans="1:13" x14ac:dyDescent="0.25">
      <c r="A15" s="2" t="s">
        <v>42</v>
      </c>
      <c r="B15" s="2"/>
      <c r="C15" s="2"/>
      <c r="D15" s="2" t="s">
        <v>45</v>
      </c>
      <c r="E15" s="2" t="s">
        <v>80</v>
      </c>
      <c r="F15" s="2" t="s">
        <v>81</v>
      </c>
      <c r="G15" s="3">
        <v>10000</v>
      </c>
      <c r="H15" s="4">
        <v>43041</v>
      </c>
      <c r="I15" s="2" t="s">
        <v>48</v>
      </c>
      <c r="J15">
        <f t="shared" si="1"/>
        <v>11</v>
      </c>
      <c r="K15" t="str">
        <f t="shared" si="0"/>
        <v>Q4</v>
      </c>
      <c r="L15">
        <f t="shared" si="2"/>
        <v>2017</v>
      </c>
      <c r="M15" t="str">
        <f t="shared" si="3"/>
        <v>Q4 2017</v>
      </c>
    </row>
    <row r="16" spans="1:13" x14ac:dyDescent="0.25">
      <c r="A16" s="2" t="s">
        <v>42</v>
      </c>
      <c r="B16" s="2"/>
      <c r="C16" s="2"/>
      <c r="D16" s="2" t="s">
        <v>55</v>
      </c>
      <c r="E16" s="2" t="s">
        <v>82</v>
      </c>
      <c r="F16" s="2" t="s">
        <v>83</v>
      </c>
      <c r="G16" s="3">
        <v>2597.4</v>
      </c>
      <c r="H16" s="4">
        <v>43045</v>
      </c>
      <c r="I16" s="2" t="s">
        <v>2</v>
      </c>
      <c r="J16">
        <f t="shared" si="1"/>
        <v>11</v>
      </c>
      <c r="K16" t="str">
        <f t="shared" si="0"/>
        <v>Q4</v>
      </c>
      <c r="L16">
        <f t="shared" si="2"/>
        <v>2017</v>
      </c>
      <c r="M16" t="str">
        <f t="shared" si="3"/>
        <v>Q4 2017</v>
      </c>
    </row>
    <row r="17" spans="1:13" x14ac:dyDescent="0.25">
      <c r="A17" s="2" t="s">
        <v>42</v>
      </c>
      <c r="B17" s="2"/>
      <c r="C17" s="2"/>
      <c r="D17" s="2" t="s">
        <v>52</v>
      </c>
      <c r="E17" s="2" t="s">
        <v>84</v>
      </c>
      <c r="F17" s="2" t="s">
        <v>85</v>
      </c>
      <c r="G17" s="3">
        <v>5000</v>
      </c>
      <c r="H17" s="4">
        <v>43052</v>
      </c>
      <c r="I17" s="2" t="s">
        <v>48</v>
      </c>
      <c r="J17">
        <f t="shared" si="1"/>
        <v>11</v>
      </c>
      <c r="K17" t="str">
        <f t="shared" si="0"/>
        <v>Q4</v>
      </c>
      <c r="L17">
        <f t="shared" si="2"/>
        <v>2017</v>
      </c>
      <c r="M17" t="str">
        <f t="shared" si="3"/>
        <v>Q4 2017</v>
      </c>
    </row>
    <row r="18" spans="1:13" x14ac:dyDescent="0.25">
      <c r="A18" s="2" t="s">
        <v>42</v>
      </c>
      <c r="B18" s="2"/>
      <c r="C18" s="2"/>
      <c r="D18" s="2" t="s">
        <v>86</v>
      </c>
      <c r="E18" s="2" t="s">
        <v>87</v>
      </c>
      <c r="F18" s="2" t="s">
        <v>88</v>
      </c>
      <c r="G18" s="3">
        <v>8110.8</v>
      </c>
      <c r="H18" s="4">
        <v>43060</v>
      </c>
      <c r="I18" s="2" t="s">
        <v>2</v>
      </c>
      <c r="J18">
        <f t="shared" si="1"/>
        <v>11</v>
      </c>
      <c r="K18" t="str">
        <f t="shared" si="0"/>
        <v>Q4</v>
      </c>
      <c r="L18">
        <f t="shared" si="2"/>
        <v>2017</v>
      </c>
      <c r="M18" t="str">
        <f t="shared" si="3"/>
        <v>Q4 2017</v>
      </c>
    </row>
    <row r="19" spans="1:13" x14ac:dyDescent="0.25">
      <c r="A19" s="2" t="s">
        <v>42</v>
      </c>
      <c r="B19" s="2"/>
      <c r="C19" s="2"/>
      <c r="D19" s="2" t="s">
        <v>55</v>
      </c>
      <c r="E19" s="2" t="s">
        <v>89</v>
      </c>
      <c r="F19" s="2" t="s">
        <v>90</v>
      </c>
      <c r="G19" s="3">
        <v>5000</v>
      </c>
      <c r="H19" s="4">
        <v>43060</v>
      </c>
      <c r="I19" s="2" t="s">
        <v>2</v>
      </c>
      <c r="J19">
        <f t="shared" si="1"/>
        <v>11</v>
      </c>
      <c r="K19" t="str">
        <f t="shared" si="0"/>
        <v>Q4</v>
      </c>
      <c r="L19">
        <f t="shared" si="2"/>
        <v>2017</v>
      </c>
      <c r="M19" t="str">
        <f t="shared" si="3"/>
        <v>Q4 2017</v>
      </c>
    </row>
    <row r="20" spans="1:13" x14ac:dyDescent="0.25">
      <c r="A20" s="2" t="s">
        <v>42</v>
      </c>
      <c r="B20" s="2"/>
      <c r="C20" s="2"/>
      <c r="D20" s="2" t="s">
        <v>52</v>
      </c>
      <c r="E20" s="2" t="s">
        <v>91</v>
      </c>
      <c r="F20" s="2" t="s">
        <v>92</v>
      </c>
      <c r="G20" s="3">
        <v>7000</v>
      </c>
      <c r="H20" s="4">
        <v>43067</v>
      </c>
      <c r="I20" s="2" t="s">
        <v>48</v>
      </c>
      <c r="J20">
        <f t="shared" si="1"/>
        <v>11</v>
      </c>
      <c r="K20" t="str">
        <f t="shared" si="0"/>
        <v>Q4</v>
      </c>
      <c r="L20">
        <f t="shared" si="2"/>
        <v>2017</v>
      </c>
      <c r="M20" t="str">
        <f t="shared" si="3"/>
        <v>Q4 2017</v>
      </c>
    </row>
    <row r="21" spans="1:13" x14ac:dyDescent="0.25">
      <c r="A21" s="2" t="s">
        <v>42</v>
      </c>
      <c r="B21" s="2"/>
      <c r="C21" s="2"/>
      <c r="D21" s="2" t="s">
        <v>55</v>
      </c>
      <c r="E21" s="2" t="s">
        <v>93</v>
      </c>
      <c r="F21" s="2" t="s">
        <v>94</v>
      </c>
      <c r="G21" s="3">
        <v>1238.4000000000001</v>
      </c>
      <c r="H21" s="4">
        <v>43075</v>
      </c>
      <c r="I21" s="2" t="s">
        <v>2</v>
      </c>
      <c r="J21">
        <f t="shared" si="1"/>
        <v>12</v>
      </c>
      <c r="K21" t="str">
        <f t="shared" si="0"/>
        <v>Q4</v>
      </c>
      <c r="L21">
        <f t="shared" si="2"/>
        <v>2017</v>
      </c>
      <c r="M21" t="str">
        <f t="shared" si="3"/>
        <v>Q4 2017</v>
      </c>
    </row>
    <row r="22" spans="1:13" x14ac:dyDescent="0.25">
      <c r="A22" s="2" t="s">
        <v>42</v>
      </c>
      <c r="B22" s="2"/>
      <c r="C22" s="2"/>
      <c r="D22" s="2" t="s">
        <v>86</v>
      </c>
      <c r="E22" s="2" t="s">
        <v>95</v>
      </c>
      <c r="F22" s="2" t="s">
        <v>95</v>
      </c>
      <c r="G22" s="3">
        <v>5000</v>
      </c>
      <c r="H22" s="4">
        <v>43075</v>
      </c>
      <c r="I22" s="2" t="s">
        <v>2</v>
      </c>
      <c r="J22">
        <f t="shared" si="1"/>
        <v>12</v>
      </c>
      <c r="K22" t="str">
        <f t="shared" si="0"/>
        <v>Q4</v>
      </c>
      <c r="L22">
        <f t="shared" si="2"/>
        <v>2017</v>
      </c>
      <c r="M22" t="str">
        <f t="shared" si="3"/>
        <v>Q4 2017</v>
      </c>
    </row>
    <row r="23" spans="1:13" x14ac:dyDescent="0.25">
      <c r="A23" s="2" t="s">
        <v>42</v>
      </c>
      <c r="B23" s="2"/>
      <c r="C23" s="2"/>
      <c r="D23" s="2" t="s">
        <v>55</v>
      </c>
      <c r="E23" s="2" t="s">
        <v>96</v>
      </c>
      <c r="F23" s="2" t="s">
        <v>97</v>
      </c>
      <c r="G23" s="3">
        <v>4707</v>
      </c>
      <c r="H23" s="4">
        <v>43075</v>
      </c>
      <c r="I23" s="2" t="s">
        <v>2</v>
      </c>
      <c r="J23">
        <f t="shared" si="1"/>
        <v>12</v>
      </c>
      <c r="K23" t="str">
        <f t="shared" si="0"/>
        <v>Q4</v>
      </c>
      <c r="L23">
        <f t="shared" si="2"/>
        <v>2017</v>
      </c>
      <c r="M23" t="str">
        <f t="shared" si="3"/>
        <v>Q4 2017</v>
      </c>
    </row>
    <row r="24" spans="1:13" x14ac:dyDescent="0.25">
      <c r="A24" s="2" t="s">
        <v>42</v>
      </c>
      <c r="B24" s="2"/>
      <c r="C24" s="2"/>
      <c r="D24" s="2" t="s">
        <v>98</v>
      </c>
      <c r="E24" s="2" t="s">
        <v>99</v>
      </c>
      <c r="F24" s="2" t="s">
        <v>100</v>
      </c>
      <c r="G24" s="3">
        <v>15000</v>
      </c>
      <c r="H24" s="4">
        <v>43090</v>
      </c>
      <c r="I24" s="2" t="s">
        <v>101</v>
      </c>
      <c r="J24">
        <f t="shared" si="1"/>
        <v>12</v>
      </c>
      <c r="K24" t="str">
        <f t="shared" si="0"/>
        <v>Q4</v>
      </c>
      <c r="L24">
        <f t="shared" si="2"/>
        <v>2017</v>
      </c>
      <c r="M24" t="str">
        <f t="shared" si="3"/>
        <v>Q4 2017</v>
      </c>
    </row>
    <row r="25" spans="1:13" x14ac:dyDescent="0.25">
      <c r="A25" s="2" t="s">
        <v>42</v>
      </c>
      <c r="B25" s="2"/>
      <c r="C25" s="2"/>
      <c r="D25" s="2" t="s">
        <v>49</v>
      </c>
      <c r="E25" s="2" t="s">
        <v>102</v>
      </c>
      <c r="F25" s="2" t="s">
        <v>102</v>
      </c>
      <c r="G25" s="3">
        <v>12500</v>
      </c>
      <c r="H25" s="4">
        <v>43111</v>
      </c>
      <c r="I25" s="2" t="s">
        <v>48</v>
      </c>
      <c r="J25">
        <f t="shared" si="1"/>
        <v>1</v>
      </c>
      <c r="K25" t="str">
        <f t="shared" si="0"/>
        <v>Q1</v>
      </c>
      <c r="L25">
        <f t="shared" si="2"/>
        <v>2018</v>
      </c>
      <c r="M25" t="str">
        <f t="shared" si="3"/>
        <v>Q1 2018</v>
      </c>
    </row>
    <row r="26" spans="1:13" x14ac:dyDescent="0.25">
      <c r="A26" s="2" t="s">
        <v>42</v>
      </c>
      <c r="B26" s="2"/>
      <c r="C26" s="2"/>
      <c r="D26" s="2" t="s">
        <v>55</v>
      </c>
      <c r="E26" s="2" t="s">
        <v>103</v>
      </c>
      <c r="F26" s="2" t="s">
        <v>104</v>
      </c>
      <c r="G26" s="3">
        <v>5000</v>
      </c>
      <c r="H26" s="4">
        <v>43145</v>
      </c>
      <c r="I26" s="2" t="s">
        <v>48</v>
      </c>
      <c r="J26">
        <f t="shared" si="1"/>
        <v>2</v>
      </c>
      <c r="K26" t="str">
        <f t="shared" si="0"/>
        <v>Q1</v>
      </c>
      <c r="L26">
        <f t="shared" si="2"/>
        <v>2018</v>
      </c>
      <c r="M26" t="str">
        <f t="shared" si="3"/>
        <v>Q1 2018</v>
      </c>
    </row>
    <row r="27" spans="1:13" ht="30" x14ac:dyDescent="0.25">
      <c r="A27" s="2" t="s">
        <v>42</v>
      </c>
      <c r="B27" s="2" t="s">
        <v>43</v>
      </c>
      <c r="C27" s="2" t="s">
        <v>59</v>
      </c>
      <c r="D27" s="2" t="s">
        <v>55</v>
      </c>
      <c r="E27" s="2" t="s">
        <v>105</v>
      </c>
      <c r="F27" s="2" t="s">
        <v>106</v>
      </c>
      <c r="G27" s="3">
        <v>10000</v>
      </c>
      <c r="H27" s="4">
        <v>43145</v>
      </c>
      <c r="I27" s="2" t="s">
        <v>107</v>
      </c>
      <c r="J27">
        <f t="shared" si="1"/>
        <v>2</v>
      </c>
      <c r="K27" t="str">
        <f t="shared" si="0"/>
        <v>Q1</v>
      </c>
      <c r="L27">
        <f t="shared" si="2"/>
        <v>2018</v>
      </c>
      <c r="M27" t="str">
        <f t="shared" si="3"/>
        <v>Q1 2018</v>
      </c>
    </row>
    <row r="28" spans="1:13" x14ac:dyDescent="0.25">
      <c r="A28" s="2" t="s">
        <v>42</v>
      </c>
      <c r="B28" s="2"/>
      <c r="C28" s="2"/>
      <c r="D28" s="2" t="s">
        <v>55</v>
      </c>
      <c r="E28" s="2" t="s">
        <v>108</v>
      </c>
      <c r="F28" s="2" t="s">
        <v>109</v>
      </c>
      <c r="G28" s="3">
        <v>7585.2</v>
      </c>
      <c r="H28" s="4">
        <v>43200</v>
      </c>
      <c r="I28" s="2" t="s">
        <v>2</v>
      </c>
      <c r="J28">
        <f t="shared" si="1"/>
        <v>4</v>
      </c>
      <c r="K28" t="str">
        <f t="shared" si="0"/>
        <v>Q2</v>
      </c>
      <c r="L28">
        <f t="shared" si="2"/>
        <v>2018</v>
      </c>
      <c r="M28" t="str">
        <f t="shared" si="3"/>
        <v>Q2 2018</v>
      </c>
    </row>
    <row r="29" spans="1:13" x14ac:dyDescent="0.25">
      <c r="A29" s="2" t="s">
        <v>58</v>
      </c>
      <c r="B29" s="2"/>
      <c r="C29" s="2"/>
      <c r="D29" s="2" t="s">
        <v>110</v>
      </c>
      <c r="E29" s="2" t="s">
        <v>111</v>
      </c>
      <c r="F29" s="2" t="s">
        <v>112</v>
      </c>
      <c r="G29" s="3">
        <v>11600</v>
      </c>
      <c r="H29" s="4">
        <v>43244</v>
      </c>
      <c r="I29" s="2" t="s">
        <v>48</v>
      </c>
      <c r="J29">
        <f t="shared" si="1"/>
        <v>5</v>
      </c>
      <c r="K29" t="str">
        <f t="shared" si="0"/>
        <v>Q2</v>
      </c>
      <c r="L29">
        <f t="shared" si="2"/>
        <v>2018</v>
      </c>
      <c r="M29" t="str">
        <f t="shared" si="3"/>
        <v>Q2 2018</v>
      </c>
    </row>
    <row r="30" spans="1:13" x14ac:dyDescent="0.25">
      <c r="A30" s="2" t="s">
        <v>42</v>
      </c>
      <c r="B30" s="2" t="s">
        <v>113</v>
      </c>
      <c r="C30" s="2" t="s">
        <v>114</v>
      </c>
      <c r="D30" s="2" t="s">
        <v>49</v>
      </c>
      <c r="E30" s="2" t="s">
        <v>115</v>
      </c>
      <c r="F30" s="2" t="s">
        <v>116</v>
      </c>
      <c r="G30" s="3">
        <v>1</v>
      </c>
      <c r="H30" s="4">
        <v>43335</v>
      </c>
      <c r="I30" s="2" t="s">
        <v>48</v>
      </c>
      <c r="J30">
        <f t="shared" si="1"/>
        <v>8</v>
      </c>
      <c r="K30" t="str">
        <f t="shared" si="0"/>
        <v>Q3</v>
      </c>
      <c r="L30">
        <f t="shared" si="2"/>
        <v>2018</v>
      </c>
      <c r="M30" t="str">
        <f t="shared" si="3"/>
        <v>Q3 2018</v>
      </c>
    </row>
    <row r="31" spans="1:13" x14ac:dyDescent="0.25">
      <c r="A31" s="2" t="s">
        <v>42</v>
      </c>
      <c r="B31" s="2"/>
      <c r="C31" s="2"/>
      <c r="D31" s="2" t="s">
        <v>45</v>
      </c>
      <c r="E31" s="2" t="s">
        <v>117</v>
      </c>
      <c r="F31" s="2" t="s">
        <v>118</v>
      </c>
      <c r="G31" s="3">
        <v>20000</v>
      </c>
      <c r="H31" s="4">
        <v>43340</v>
      </c>
      <c r="I31" s="2" t="s">
        <v>48</v>
      </c>
      <c r="J31">
        <f t="shared" si="1"/>
        <v>8</v>
      </c>
      <c r="K31" t="str">
        <f t="shared" si="0"/>
        <v>Q3</v>
      </c>
      <c r="L31">
        <f t="shared" si="2"/>
        <v>2018</v>
      </c>
      <c r="M31" t="str">
        <f t="shared" si="3"/>
        <v>Q3 2018</v>
      </c>
    </row>
    <row r="32" spans="1:13" x14ac:dyDescent="0.25">
      <c r="A32" s="2" t="s">
        <v>42</v>
      </c>
      <c r="B32" s="2"/>
      <c r="C32" s="2"/>
      <c r="D32" s="2" t="s">
        <v>55</v>
      </c>
      <c r="E32" s="2" t="s">
        <v>119</v>
      </c>
      <c r="F32" s="2" t="s">
        <v>120</v>
      </c>
      <c r="G32" s="3">
        <v>5250</v>
      </c>
      <c r="H32" s="4">
        <v>43353</v>
      </c>
      <c r="I32" s="2" t="s">
        <v>2</v>
      </c>
      <c r="J32">
        <f t="shared" si="1"/>
        <v>9</v>
      </c>
      <c r="K32" t="str">
        <f t="shared" si="0"/>
        <v>Q3</v>
      </c>
      <c r="L32">
        <f t="shared" si="2"/>
        <v>2018</v>
      </c>
      <c r="M32" t="str">
        <f t="shared" si="3"/>
        <v>Q3 2018</v>
      </c>
    </row>
    <row r="33" spans="1:13" x14ac:dyDescent="0.25">
      <c r="A33" s="2" t="s">
        <v>58</v>
      </c>
      <c r="B33" s="2"/>
      <c r="C33" s="2"/>
      <c r="D33" s="2" t="s">
        <v>110</v>
      </c>
      <c r="E33" s="2" t="s">
        <v>121</v>
      </c>
      <c r="F33" s="2" t="s">
        <v>122</v>
      </c>
      <c r="G33" s="3">
        <v>10000</v>
      </c>
      <c r="H33" s="4">
        <v>43356</v>
      </c>
      <c r="I33" s="2" t="s">
        <v>48</v>
      </c>
      <c r="J33">
        <f t="shared" si="1"/>
        <v>9</v>
      </c>
      <c r="K33" t="str">
        <f t="shared" si="0"/>
        <v>Q3</v>
      </c>
      <c r="L33">
        <f t="shared" si="2"/>
        <v>2018</v>
      </c>
      <c r="M33" t="str">
        <f t="shared" si="3"/>
        <v>Q3 2018</v>
      </c>
    </row>
    <row r="34" spans="1:13" x14ac:dyDescent="0.25">
      <c r="A34" s="2" t="s">
        <v>58</v>
      </c>
      <c r="B34" s="2"/>
      <c r="C34" s="2"/>
      <c r="D34" s="2" t="s">
        <v>110</v>
      </c>
      <c r="E34" s="2" t="s">
        <v>123</v>
      </c>
      <c r="F34" s="2" t="s">
        <v>124</v>
      </c>
      <c r="G34" s="3">
        <v>25000</v>
      </c>
      <c r="H34" s="4">
        <v>43362</v>
      </c>
      <c r="I34" s="2" t="s">
        <v>125</v>
      </c>
      <c r="J34">
        <f t="shared" si="1"/>
        <v>9</v>
      </c>
      <c r="K34" t="str">
        <f t="shared" si="0"/>
        <v>Q3</v>
      </c>
      <c r="L34">
        <f t="shared" si="2"/>
        <v>2018</v>
      </c>
      <c r="M34" t="str">
        <f t="shared" si="3"/>
        <v>Q3 2018</v>
      </c>
    </row>
    <row r="35" spans="1:13" x14ac:dyDescent="0.25">
      <c r="A35" s="2" t="s">
        <v>42</v>
      </c>
      <c r="B35" s="2"/>
      <c r="C35" s="2"/>
      <c r="D35" s="2" t="s">
        <v>55</v>
      </c>
      <c r="E35" s="2" t="s">
        <v>126</v>
      </c>
      <c r="F35" s="2" t="s">
        <v>127</v>
      </c>
      <c r="G35" s="3">
        <v>5250</v>
      </c>
      <c r="H35" s="4">
        <v>43369</v>
      </c>
      <c r="I35" s="2" t="s">
        <v>2</v>
      </c>
      <c r="J35">
        <f t="shared" si="1"/>
        <v>9</v>
      </c>
      <c r="K35" t="str">
        <f t="shared" si="0"/>
        <v>Q3</v>
      </c>
      <c r="L35">
        <f t="shared" si="2"/>
        <v>2018</v>
      </c>
      <c r="M35" t="str">
        <f t="shared" si="3"/>
        <v>Q3 2018</v>
      </c>
    </row>
    <row r="36" spans="1:13" x14ac:dyDescent="0.25">
      <c r="A36" s="2" t="s">
        <v>42</v>
      </c>
      <c r="B36" s="2"/>
      <c r="C36" s="2"/>
      <c r="D36" s="2" t="s">
        <v>45</v>
      </c>
      <c r="E36" s="2" t="s">
        <v>128</v>
      </c>
      <c r="F36" s="2" t="s">
        <v>129</v>
      </c>
      <c r="G36" s="3">
        <v>10000</v>
      </c>
      <c r="H36" s="4">
        <v>43371</v>
      </c>
      <c r="I36" s="2" t="s">
        <v>48</v>
      </c>
      <c r="J36">
        <f t="shared" si="1"/>
        <v>9</v>
      </c>
      <c r="K36" t="str">
        <f t="shared" si="0"/>
        <v>Q3</v>
      </c>
      <c r="L36">
        <f t="shared" si="2"/>
        <v>2018</v>
      </c>
      <c r="M36" t="str">
        <f t="shared" si="3"/>
        <v>Q3 2018</v>
      </c>
    </row>
    <row r="37" spans="1:13" x14ac:dyDescent="0.25">
      <c r="A37" s="2" t="s">
        <v>58</v>
      </c>
      <c r="B37" s="2"/>
      <c r="C37" s="2"/>
      <c r="D37" s="2" t="s">
        <v>110</v>
      </c>
      <c r="E37" s="2" t="s">
        <v>130</v>
      </c>
      <c r="F37" s="2" t="s">
        <v>131</v>
      </c>
      <c r="G37" s="3"/>
      <c r="H37" s="4">
        <v>43378</v>
      </c>
      <c r="I37" s="2" t="s">
        <v>48</v>
      </c>
      <c r="J37">
        <f t="shared" si="1"/>
        <v>10</v>
      </c>
      <c r="K37" t="str">
        <f t="shared" si="0"/>
        <v>Q4</v>
      </c>
      <c r="L37">
        <f t="shared" si="2"/>
        <v>2018</v>
      </c>
      <c r="M37" t="str">
        <f t="shared" si="3"/>
        <v>Q4 2018</v>
      </c>
    </row>
    <row r="38" spans="1:13" x14ac:dyDescent="0.25">
      <c r="A38" s="2" t="s">
        <v>42</v>
      </c>
      <c r="B38" s="2"/>
      <c r="C38" s="2"/>
      <c r="D38" s="2" t="s">
        <v>45</v>
      </c>
      <c r="E38" s="2" t="s">
        <v>132</v>
      </c>
      <c r="F38" s="2" t="s">
        <v>133</v>
      </c>
      <c r="G38" s="3">
        <v>41818.75</v>
      </c>
      <c r="H38" s="4">
        <v>43389</v>
      </c>
      <c r="I38" s="2" t="s">
        <v>2</v>
      </c>
      <c r="J38">
        <f t="shared" si="1"/>
        <v>10</v>
      </c>
      <c r="K38" t="str">
        <f t="shared" si="0"/>
        <v>Q4</v>
      </c>
      <c r="L38">
        <f t="shared" si="2"/>
        <v>2018</v>
      </c>
      <c r="M38" t="str">
        <f t="shared" si="3"/>
        <v>Q4 2018</v>
      </c>
    </row>
    <row r="39" spans="1:13" x14ac:dyDescent="0.25">
      <c r="A39" s="2" t="s">
        <v>58</v>
      </c>
      <c r="B39" s="2"/>
      <c r="C39" s="2"/>
      <c r="D39" s="2" t="s">
        <v>110</v>
      </c>
      <c r="E39" s="2" t="s">
        <v>134</v>
      </c>
      <c r="F39" s="2" t="s">
        <v>135</v>
      </c>
      <c r="G39" s="3">
        <v>10000</v>
      </c>
      <c r="H39" s="4">
        <v>43424</v>
      </c>
      <c r="I39" s="2" t="s">
        <v>48</v>
      </c>
      <c r="J39">
        <f t="shared" si="1"/>
        <v>11</v>
      </c>
      <c r="K39" t="str">
        <f t="shared" si="0"/>
        <v>Q4</v>
      </c>
      <c r="L39">
        <f t="shared" si="2"/>
        <v>2018</v>
      </c>
      <c r="M39" t="str">
        <f t="shared" si="3"/>
        <v>Q4 2018</v>
      </c>
    </row>
  </sheetData>
  <autoFilter ref="A1:I39" xr:uid="{00000000-0009-0000-0000-000003000000}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13"/>
  <sheetViews>
    <sheetView workbookViewId="0">
      <selection activeCell="B2" sqref="B2:B13"/>
    </sheetView>
  </sheetViews>
  <sheetFormatPr defaultRowHeight="15" x14ac:dyDescent="0.25"/>
  <sheetData>
    <row r="2" spans="2:3" x14ac:dyDescent="0.25">
      <c r="B2">
        <v>1</v>
      </c>
      <c r="C2" t="s">
        <v>136</v>
      </c>
    </row>
    <row r="3" spans="2:3" x14ac:dyDescent="0.25">
      <c r="B3">
        <v>2</v>
      </c>
      <c r="C3" t="s">
        <v>136</v>
      </c>
    </row>
    <row r="4" spans="2:3" x14ac:dyDescent="0.25">
      <c r="B4">
        <v>3</v>
      </c>
      <c r="C4" t="s">
        <v>136</v>
      </c>
    </row>
    <row r="5" spans="2:3" x14ac:dyDescent="0.25">
      <c r="B5">
        <v>4</v>
      </c>
      <c r="C5" t="s">
        <v>137</v>
      </c>
    </row>
    <row r="6" spans="2:3" x14ac:dyDescent="0.25">
      <c r="B6">
        <v>5</v>
      </c>
      <c r="C6" t="s">
        <v>137</v>
      </c>
    </row>
    <row r="7" spans="2:3" x14ac:dyDescent="0.25">
      <c r="B7">
        <v>6</v>
      </c>
      <c r="C7" t="s">
        <v>137</v>
      </c>
    </row>
    <row r="8" spans="2:3" x14ac:dyDescent="0.25">
      <c r="B8">
        <v>7</v>
      </c>
      <c r="C8" t="s">
        <v>138</v>
      </c>
    </row>
    <row r="9" spans="2:3" x14ac:dyDescent="0.25">
      <c r="B9">
        <v>8</v>
      </c>
      <c r="C9" t="s">
        <v>138</v>
      </c>
    </row>
    <row r="10" spans="2:3" x14ac:dyDescent="0.25">
      <c r="B10">
        <v>9</v>
      </c>
      <c r="C10" t="s">
        <v>138</v>
      </c>
    </row>
    <row r="11" spans="2:3" x14ac:dyDescent="0.25">
      <c r="B11">
        <v>10</v>
      </c>
      <c r="C11" t="s">
        <v>139</v>
      </c>
    </row>
    <row r="12" spans="2:3" x14ac:dyDescent="0.25">
      <c r="B12">
        <v>11</v>
      </c>
      <c r="C12" t="s">
        <v>139</v>
      </c>
    </row>
    <row r="13" spans="2:3" x14ac:dyDescent="0.25">
      <c r="B13">
        <v>12</v>
      </c>
      <c r="C13" t="s">
        <v>139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391A624DDA1A4E905CC95D4D497424" ma:contentTypeVersion="2" ma:contentTypeDescription="Create a new document." ma:contentTypeScope="" ma:versionID="a5c03076063b7618818ae0ff02dfcbde">
  <xsd:schema xmlns:xsd="http://www.w3.org/2001/XMLSchema" xmlns:xs="http://www.w3.org/2001/XMLSchema" xmlns:p="http://schemas.microsoft.com/office/2006/metadata/properties" xmlns:ns2="eec8ba09-1c06-40db-8eb0-232954c2aae3" targetNamespace="http://schemas.microsoft.com/office/2006/metadata/properties" ma:root="true" ma:fieldsID="398456ca70ca4f3c0feff89a540eccd5" ns2:_="">
    <xsd:import namespace="eec8ba09-1c06-40db-8eb0-232954c2aa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ba09-1c06-40db-8eb0-232954c2a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BC18AC-5369-4952-9972-8447C60EA2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7E14B3-0BC6-495F-B786-8C9F8DF7D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8ba09-1c06-40db-8eb0-232954c2aa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16084A-6724-452B-BAD7-E8601AB039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Mkt Assump 19.20.21</vt:lpstr>
      <vt:lpstr>report1550804317637</vt:lpstr>
      <vt:lpstr>Look up</vt:lpstr>
      <vt:lpstr>themonth</vt:lpstr>
      <vt:lpstr>thequarter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Hudson</dc:creator>
  <cp:keywords/>
  <dc:description/>
  <cp:lastModifiedBy>Mark Hudson</cp:lastModifiedBy>
  <cp:revision/>
  <dcterms:created xsi:type="dcterms:W3CDTF">2019-02-22T03:08:50Z</dcterms:created>
  <dcterms:modified xsi:type="dcterms:W3CDTF">2020-11-06T17:37:12Z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0x010100A1391A624DDA1A4E905CC95D4D497424</vt:lpwstr>
  </property>
</Properties>
</file>